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defaultThemeVersion="166925"/>
  <mc:AlternateContent xmlns:mc="http://schemas.openxmlformats.org/markup-compatibility/2006">
    <mc:Choice Requires="x15">
      <x15ac:absPath xmlns:x15ac="http://schemas.microsoft.com/office/spreadsheetml/2010/11/ac" url="https://intramarmm.sharepoint.com/sites/FACTURATION_MET/Documents partages/"/>
    </mc:Choice>
  </mc:AlternateContent>
  <xr:revisionPtr revIDLastSave="0" documentId="8_{E965EA14-83C2-4756-90BB-1AFA0846A7C2}" xr6:coauthVersionLast="47" xr6:coauthVersionMax="47" xr10:uidLastSave="{00000000-0000-0000-0000-000000000000}"/>
  <bookViews>
    <workbookView xWindow="-120" yWindow="-120" windowWidth="38640" windowHeight="21240" firstSheet="1" activeTab="1" xr2:uid="{51A22798-F04D-468B-BD37-3C1611AF7104}"/>
  </bookViews>
  <sheets>
    <sheet name="base" sheetId="2" state="hidden" r:id="rId1"/>
    <sheet name="Import conteneur 2025" sheetId="8" r:id="rId2"/>
    <sheet name="Import roulant 2025" sheetId="9" r:id="rId3"/>
    <sheet name="Export conteneur 2025" sheetId="10" r:id="rId4"/>
    <sheet name="Export roulant 2025" sheetId="11" r:id="rId5"/>
    <sheet name="Import conteneur 2024" sheetId="3" r:id="rId6"/>
    <sheet name="Import roulant 2024" sheetId="6" r:id="rId7"/>
    <sheet name="Export conteneur 2024" sheetId="5" r:id="rId8"/>
    <sheet name="Export roulant 2024" sheetId="7" r:id="rId9"/>
  </sheets>
  <definedNames>
    <definedName name="ABC">base!$A$6:$A$8</definedName>
    <definedName name="longueur" localSheetId="7">sss[longueur]</definedName>
    <definedName name="longueur" localSheetId="3">sss[longueur]</definedName>
    <definedName name="longueur" localSheetId="8">sss[longueur]</definedName>
    <definedName name="longueur" localSheetId="4">sss[longueur]</definedName>
    <definedName name="longueur" localSheetId="1">sss[longueur]</definedName>
    <definedName name="longueur" localSheetId="6">sss[longueur]</definedName>
    <definedName name="longueur" localSheetId="2">sss[longueur]</definedName>
    <definedName name="longueur">sss[longueur]</definedName>
    <definedName name="Marchandise" localSheetId="3">Tableau1[Marchandise]</definedName>
    <definedName name="Marchandise" localSheetId="8">Tableau1[Marchandise]</definedName>
    <definedName name="Marchandise" localSheetId="4">Tableau1[Marchandise]</definedName>
    <definedName name="Marchandise" localSheetId="1">Tableau1[Marchandise]</definedName>
    <definedName name="Marchandise" localSheetId="2">Tableau1[Marchandise]</definedName>
    <definedName name="Marchandise">Tableau1[Marchandise]</definedName>
    <definedName name="type" localSheetId="7">ohdgx[ohdgx]</definedName>
    <definedName name="type" localSheetId="3">ohdgx[ohdgx]</definedName>
    <definedName name="type" localSheetId="8">ohdgx[ohdgx]</definedName>
    <definedName name="type" localSheetId="4">ohdgx[ohdgx]</definedName>
    <definedName name="type" localSheetId="1">ohdgx[ohdgx]</definedName>
    <definedName name="type" localSheetId="6">ohdgx[ohdgx]</definedName>
    <definedName name="type" localSheetId="2">ohdgx[ohdgx]</definedName>
    <definedName name="type">ohdgx[ohdgx]</definedName>
    <definedName name="vingt">base!$E$2</definedName>
    <definedName name="_xlnm.Print_Area" localSheetId="7">'Export conteneur 2024'!$A$1:$Y$25</definedName>
    <definedName name="_xlnm.Print_Area" localSheetId="3">'Export conteneur 2025'!$A$1:$Y$27</definedName>
    <definedName name="_xlnm.Print_Area" localSheetId="8">'Export roulant 2024'!$A$1:$U$20</definedName>
    <definedName name="_xlnm.Print_Area" localSheetId="4">'Export roulant 2025'!$A$1:$U$22</definedName>
    <definedName name="_xlnm.Print_Area" localSheetId="5">'Import conteneur 2024'!$A$1:$Y$23</definedName>
    <definedName name="_xlnm.Print_Area" localSheetId="1">'Import conteneur 2025'!$A$1:$Y$22</definedName>
    <definedName name="_xlnm.Print_Area" localSheetId="6">'Import roulant 2024'!$A$1:$T$20</definedName>
    <definedName name="_xlnm.Print_Area" localSheetId="2">'Import roulant 2025'!$A$2:$T$28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9" i="11" l="1"/>
  <c r="F19" i="11" s="1"/>
  <c r="G19" i="11" s="1"/>
  <c r="L12" i="11"/>
  <c r="K12" i="11"/>
  <c r="J12" i="11"/>
  <c r="I12" i="11"/>
  <c r="H12" i="11"/>
  <c r="F12" i="11"/>
  <c r="L10" i="11"/>
  <c r="K10" i="11"/>
  <c r="J10" i="11"/>
  <c r="I10" i="11"/>
  <c r="H10" i="11"/>
  <c r="G10" i="11"/>
  <c r="G12" i="11" s="1"/>
  <c r="L9" i="11"/>
  <c r="K9" i="11"/>
  <c r="J9" i="11"/>
  <c r="I9" i="11"/>
  <c r="H9" i="11"/>
  <c r="G9" i="11"/>
  <c r="G22" i="10"/>
  <c r="H22" i="10" s="1"/>
  <c r="F22" i="10"/>
  <c r="I22" i="10" s="1"/>
  <c r="N15" i="10"/>
  <c r="K15" i="10"/>
  <c r="G15" i="10"/>
  <c r="N13" i="10"/>
  <c r="M13" i="10"/>
  <c r="M15" i="10" s="1"/>
  <c r="L13" i="10"/>
  <c r="K13" i="10"/>
  <c r="J13" i="10"/>
  <c r="J15" i="10" s="1"/>
  <c r="I13" i="10"/>
  <c r="I15" i="10" s="1"/>
  <c r="H13" i="10"/>
  <c r="H15" i="10" s="1"/>
  <c r="N12" i="10"/>
  <c r="M12" i="10"/>
  <c r="L12" i="10"/>
  <c r="K12" i="10"/>
  <c r="J12" i="10"/>
  <c r="I12" i="10"/>
  <c r="H12" i="10"/>
  <c r="N10" i="10"/>
  <c r="M10" i="10"/>
  <c r="L10" i="10"/>
  <c r="K10" i="10"/>
  <c r="J10" i="10"/>
  <c r="I10" i="10"/>
  <c r="H10" i="10"/>
  <c r="N8" i="10"/>
  <c r="M8" i="10"/>
  <c r="L8" i="10"/>
  <c r="K8" i="10"/>
  <c r="J8" i="10"/>
  <c r="I8" i="10"/>
  <c r="H8" i="10"/>
  <c r="E19" i="9"/>
  <c r="F19" i="9" s="1"/>
  <c r="G19" i="9" s="1"/>
  <c r="L12" i="9"/>
  <c r="K12" i="9"/>
  <c r="H12" i="9"/>
  <c r="F12" i="9"/>
  <c r="L10" i="9"/>
  <c r="K10" i="9"/>
  <c r="J10" i="9"/>
  <c r="I10" i="9"/>
  <c r="H10" i="9"/>
  <c r="G10" i="9"/>
  <c r="G12" i="9" s="1"/>
  <c r="L9" i="9"/>
  <c r="K9" i="9"/>
  <c r="J9" i="9"/>
  <c r="I9" i="9"/>
  <c r="H9" i="9"/>
  <c r="G9" i="9"/>
  <c r="J19" i="11" l="1"/>
  <c r="K19" i="11" s="1"/>
  <c r="N19" i="11"/>
  <c r="O19" i="11" s="1"/>
  <c r="L19" i="11"/>
  <c r="M19" i="11" s="1"/>
  <c r="R19" i="11"/>
  <c r="P19" i="11"/>
  <c r="Q19" i="11" s="1"/>
  <c r="V22" i="10"/>
  <c r="P22" i="10"/>
  <c r="R22" i="10"/>
  <c r="J19" i="9"/>
  <c r="K19" i="9" s="1"/>
  <c r="P19" i="9"/>
  <c r="S19" i="9" s="1"/>
  <c r="R19" i="9"/>
  <c r="L19" i="9"/>
  <c r="M19" i="9" s="1"/>
  <c r="N19" i="9"/>
  <c r="O19" i="9" s="1"/>
  <c r="S19" i="11"/>
  <c r="H19" i="11"/>
  <c r="I19" i="11" s="1"/>
  <c r="J22" i="10"/>
  <c r="K22" i="10"/>
  <c r="L22" i="10"/>
  <c r="M22" i="10" s="1"/>
  <c r="N22" i="10"/>
  <c r="O22" i="10"/>
  <c r="Q22" i="10"/>
  <c r="L15" i="10"/>
  <c r="S22" i="10"/>
  <c r="T22" i="10"/>
  <c r="Y22" i="10" s="1"/>
  <c r="W22" i="10"/>
  <c r="I12" i="9"/>
  <c r="J12" i="9"/>
  <c r="H19" i="9"/>
  <c r="I19" i="9" s="1"/>
  <c r="U22" i="10" l="1"/>
  <c r="X22" i="10" s="1"/>
  <c r="A20" i="10" s="1"/>
  <c r="Q19" i="9"/>
  <c r="T19" i="9" s="1"/>
  <c r="A17" i="9" s="1"/>
  <c r="T19" i="11"/>
  <c r="A17" i="11" s="1"/>
  <c r="G22" i="8"/>
  <c r="H22" i="8" s="1"/>
  <c r="F22" i="8"/>
  <c r="M15" i="8"/>
  <c r="L15" i="8"/>
  <c r="K15" i="8"/>
  <c r="J15" i="8"/>
  <c r="I15" i="8"/>
  <c r="H15" i="8"/>
  <c r="G15" i="8"/>
  <c r="N13" i="8"/>
  <c r="M13" i="8"/>
  <c r="L13" i="8"/>
  <c r="K13" i="8"/>
  <c r="J13" i="8"/>
  <c r="I13" i="8"/>
  <c r="H13" i="8"/>
  <c r="N12" i="8"/>
  <c r="M12" i="8"/>
  <c r="L12" i="8"/>
  <c r="K12" i="8"/>
  <c r="J12" i="8"/>
  <c r="I12" i="8"/>
  <c r="H12" i="8"/>
  <c r="N10" i="8"/>
  <c r="M10" i="8"/>
  <c r="L10" i="8"/>
  <c r="K10" i="8"/>
  <c r="J10" i="8"/>
  <c r="I10" i="8"/>
  <c r="H10" i="8"/>
  <c r="N8" i="8"/>
  <c r="M8" i="8"/>
  <c r="L8" i="8"/>
  <c r="K8" i="8"/>
  <c r="J8" i="8"/>
  <c r="I8" i="8"/>
  <c r="H8" i="8"/>
  <c r="G22" i="3"/>
  <c r="H22" i="3" s="1"/>
  <c r="H8" i="3"/>
  <c r="E19" i="7"/>
  <c r="F12" i="7"/>
  <c r="L10" i="7"/>
  <c r="L12" i="7" s="1"/>
  <c r="K10" i="7"/>
  <c r="K12" i="7" s="1"/>
  <c r="J10" i="7"/>
  <c r="J12" i="7" s="1"/>
  <c r="I10" i="7"/>
  <c r="H10" i="7"/>
  <c r="H12" i="7" s="1"/>
  <c r="G10" i="7"/>
  <c r="G12" i="7" s="1"/>
  <c r="L9" i="7"/>
  <c r="K9" i="7"/>
  <c r="J9" i="7"/>
  <c r="I9" i="7"/>
  <c r="H9" i="7"/>
  <c r="G9" i="7"/>
  <c r="I22" i="8" l="1"/>
  <c r="V22" i="8"/>
  <c r="W22" i="8" s="1"/>
  <c r="L22" i="8"/>
  <c r="M22" i="8" s="1"/>
  <c r="J22" i="8"/>
  <c r="K22" i="8" s="1"/>
  <c r="P22" i="8"/>
  <c r="Q22" i="8" s="1"/>
  <c r="N22" i="8"/>
  <c r="O22" i="8" s="1"/>
  <c r="R22" i="8"/>
  <c r="S22" i="8" s="1"/>
  <c r="T22" i="8"/>
  <c r="N15" i="8"/>
  <c r="U22" i="8"/>
  <c r="H19" i="7"/>
  <c r="I19" i="7" s="1"/>
  <c r="P19" i="7"/>
  <c r="S19" i="7" s="1"/>
  <c r="R19" i="7"/>
  <c r="L19" i="7"/>
  <c r="M19" i="7" s="1"/>
  <c r="N19" i="7"/>
  <c r="O19" i="7" s="1"/>
  <c r="I12" i="7"/>
  <c r="Q19" i="7"/>
  <c r="F19" i="7"/>
  <c r="G19" i="7" s="1"/>
  <c r="J19" i="7"/>
  <c r="K19" i="7" s="1"/>
  <c r="Y22" i="8" l="1"/>
  <c r="X22" i="8"/>
  <c r="A20" i="8" s="1"/>
  <c r="T19" i="7"/>
  <c r="A17" i="7" s="1"/>
  <c r="L9" i="6" l="1"/>
  <c r="K9" i="6"/>
  <c r="J9" i="6"/>
  <c r="I9" i="6"/>
  <c r="H9" i="6"/>
  <c r="G9" i="6"/>
  <c r="E19" i="6" l="1"/>
  <c r="F19" i="6" s="1"/>
  <c r="G19" i="6" s="1"/>
  <c r="F12" i="6"/>
  <c r="L10" i="6"/>
  <c r="L12" i="6" s="1"/>
  <c r="K10" i="6"/>
  <c r="J10" i="6"/>
  <c r="J12" i="6" s="1"/>
  <c r="I10" i="6"/>
  <c r="I12" i="6" s="1"/>
  <c r="H10" i="6"/>
  <c r="H12" i="6" s="1"/>
  <c r="G10" i="6"/>
  <c r="G12" i="6" s="1"/>
  <c r="P19" i="6" l="1"/>
  <c r="R19" i="6"/>
  <c r="H19" i="6"/>
  <c r="I19" i="6" s="1"/>
  <c r="J19" i="6"/>
  <c r="K19" i="6" s="1"/>
  <c r="L19" i="6"/>
  <c r="M19" i="6" s="1"/>
  <c r="N19" i="6"/>
  <c r="O19" i="6" s="1"/>
  <c r="K12" i="6"/>
  <c r="G22" i="5"/>
  <c r="H22" i="5" s="1"/>
  <c r="F22" i="5"/>
  <c r="I22" i="5" s="1"/>
  <c r="G15" i="5"/>
  <c r="N13" i="5"/>
  <c r="M13" i="5"/>
  <c r="M15" i="5" s="1"/>
  <c r="L13" i="5"/>
  <c r="K13" i="5"/>
  <c r="K15" i="5" s="1"/>
  <c r="J13" i="5"/>
  <c r="J15" i="5" s="1"/>
  <c r="I13" i="5"/>
  <c r="I15" i="5" s="1"/>
  <c r="H13" i="5"/>
  <c r="H15" i="5" s="1"/>
  <c r="N12" i="5"/>
  <c r="M12" i="5"/>
  <c r="L12" i="5"/>
  <c r="K12" i="5"/>
  <c r="J12" i="5"/>
  <c r="I12" i="5"/>
  <c r="H12" i="5"/>
  <c r="N10" i="5"/>
  <c r="M10" i="5"/>
  <c r="L10" i="5"/>
  <c r="K10" i="5"/>
  <c r="J10" i="5"/>
  <c r="I10" i="5"/>
  <c r="H10" i="5"/>
  <c r="N8" i="5"/>
  <c r="M8" i="5"/>
  <c r="L8" i="5"/>
  <c r="K8" i="5"/>
  <c r="J8" i="5"/>
  <c r="I8" i="5"/>
  <c r="H8" i="5"/>
  <c r="F22" i="3"/>
  <c r="I22" i="3" s="1"/>
  <c r="N12" i="3"/>
  <c r="M12" i="3"/>
  <c r="L12" i="3"/>
  <c r="K12" i="3"/>
  <c r="J12" i="3"/>
  <c r="I12" i="3"/>
  <c r="H12" i="3"/>
  <c r="N10" i="3"/>
  <c r="M10" i="3"/>
  <c r="L10" i="3"/>
  <c r="K10" i="3"/>
  <c r="J10" i="3"/>
  <c r="I10" i="3"/>
  <c r="H10" i="3"/>
  <c r="I8" i="3"/>
  <c r="J8" i="3"/>
  <c r="K8" i="3"/>
  <c r="L8" i="3"/>
  <c r="M8" i="3"/>
  <c r="N8" i="3"/>
  <c r="H13" i="3"/>
  <c r="N13" i="3"/>
  <c r="G15" i="3"/>
  <c r="M13" i="3"/>
  <c r="L13" i="3"/>
  <c r="K13" i="3"/>
  <c r="J13" i="3"/>
  <c r="I13" i="3"/>
  <c r="I15" i="3" s="1"/>
  <c r="H15" i="3" l="1"/>
  <c r="J22" i="3"/>
  <c r="K22" i="3" s="1"/>
  <c r="Q19" i="6"/>
  <c r="S19" i="6"/>
  <c r="R22" i="5"/>
  <c r="S22" i="5" s="1"/>
  <c r="V22" i="5"/>
  <c r="W22" i="5" s="1"/>
  <c r="N15" i="5"/>
  <c r="J22" i="5"/>
  <c r="K22" i="5" s="1"/>
  <c r="L22" i="5"/>
  <c r="M22" i="5" s="1"/>
  <c r="N22" i="5"/>
  <c r="O22" i="5" s="1"/>
  <c r="P22" i="5"/>
  <c r="Q22" i="5" s="1"/>
  <c r="L15" i="5"/>
  <c r="T22" i="5"/>
  <c r="U22" i="5" s="1"/>
  <c r="N22" i="3"/>
  <c r="O22" i="3" s="1"/>
  <c r="R22" i="3"/>
  <c r="S22" i="3" s="1"/>
  <c r="P22" i="3"/>
  <c r="Q22" i="3" s="1"/>
  <c r="V22" i="3"/>
  <c r="W22" i="3" s="1"/>
  <c r="T22" i="3"/>
  <c r="U22" i="3" s="1"/>
  <c r="L22" i="3"/>
  <c r="M22" i="3" s="1"/>
  <c r="N15" i="3"/>
  <c r="K15" i="3"/>
  <c r="J15" i="3"/>
  <c r="L15" i="3"/>
  <c r="M15" i="3"/>
  <c r="X22" i="3" l="1"/>
  <c r="A20" i="3" s="1"/>
  <c r="T19" i="6"/>
  <c r="A17" i="6" s="1"/>
  <c r="Y22" i="5"/>
  <c r="X22" i="5"/>
  <c r="A20" i="5" s="1"/>
  <c r="Y22" i="3"/>
</calcChain>
</file>

<file path=xl/sharedStrings.xml><?xml version="1.0" encoding="utf-8"?>
<sst xmlns="http://schemas.openxmlformats.org/spreadsheetml/2006/main" count="475" uniqueCount="94">
  <si>
    <t>longueur</t>
  </si>
  <si>
    <t>ohdgx</t>
  </si>
  <si>
    <t>Marchandise</t>
  </si>
  <si>
    <t>20'</t>
  </si>
  <si>
    <t>OH</t>
  </si>
  <si>
    <t>A</t>
  </si>
  <si>
    <t>40'</t>
  </si>
  <si>
    <t>DGX</t>
  </si>
  <si>
    <t>B</t>
  </si>
  <si>
    <t>45'</t>
  </si>
  <si>
    <t>C</t>
  </si>
  <si>
    <t xml:space="preserve">INTRAMAR SA / MED EUROPE TERMINAL - </t>
  </si>
  <si>
    <t>Aide au calcul des frais de stationnement IMPORT pour des conteneurs ou des reefers au tarif 2024</t>
  </si>
  <si>
    <t>Tous droits et moyens réservés et sans reconnaissance de responsabilités</t>
  </si>
  <si>
    <t xml:space="preserve">Cette feuille de calcul est mise à disposition par Intramar SA, uniquement à titre d'assistance pour le calcul des frais de stationnement des conteneurs sur le terminal de Med Europe pour l'année 2024. 
Elle ne constitue en aucun cas une facture ou un document contractuel et n'engage pas la responsabilité d'Intramar SA quant à l'exactitude des montants calculés. </t>
  </si>
  <si>
    <t>Taille</t>
  </si>
  <si>
    <t>Type</t>
  </si>
  <si>
    <t>20/40OH</t>
  </si>
  <si>
    <t>tranche 1</t>
  </si>
  <si>
    <t>tranche 2</t>
  </si>
  <si>
    <t>tranche 3</t>
  </si>
  <si>
    <t>tranche 4</t>
  </si>
  <si>
    <t>tranche 5</t>
  </si>
  <si>
    <t>tranche 6</t>
  </si>
  <si>
    <t>tranche 7</t>
  </si>
  <si>
    <t>tranche 8</t>
  </si>
  <si>
    <t>gratuit</t>
  </si>
  <si>
    <t>OH ou DGX</t>
  </si>
  <si>
    <t>20' ohdgx</t>
  </si>
  <si>
    <t>40' ohdgx</t>
  </si>
  <si>
    <t>45' ohdgx</t>
  </si>
  <si>
    <t>du</t>
  </si>
  <si>
    <t>au</t>
  </si>
  <si>
    <t>Nombre de jour</t>
  </si>
  <si>
    <r>
      <rPr>
        <sz val="11"/>
        <rFont val="aptos"/>
        <family val="2"/>
      </rPr>
      <t>→</t>
    </r>
    <r>
      <rPr>
        <i/>
        <sz val="11"/>
        <rFont val="aptos"/>
        <family val="2"/>
      </rPr>
      <t xml:space="preserve"> Informer les cellules des colonnes dont les titres sont en orange. Nombre et taille sont obligatoires, pas le type qui est facultatif.</t>
    </r>
  </si>
  <si>
    <r>
      <rPr>
        <sz val="11"/>
        <rFont val="aptos"/>
        <family val="2"/>
      </rPr>
      <t>→</t>
    </r>
    <r>
      <rPr>
        <i/>
        <sz val="11"/>
        <rFont val="aptos"/>
        <family val="2"/>
      </rPr>
      <t xml:space="preserve"> Si vous souhaitez des lignes supplémentaires, il suffit de noter le nombre de conteneur sur la ligne à la suite directe de la dernière.</t>
    </r>
  </si>
  <si>
    <t>Total 
général</t>
  </si>
  <si>
    <t>Nombre de 
conteneur</t>
  </si>
  <si>
    <t>Type
OH/DGX</t>
  </si>
  <si>
    <t>Date début
'Débarquement'</t>
  </si>
  <si>
    <t>Date fin
'Livraison'</t>
  </si>
  <si>
    <t>Nombre
jours
total</t>
  </si>
  <si>
    <t>Tranche 1
import
nb jour</t>
  </si>
  <si>
    <t>Tranche 1
Import
coût</t>
  </si>
  <si>
    <t>Tranche 2
import
nb jour</t>
  </si>
  <si>
    <t>Tranche 2
Import
coût</t>
  </si>
  <si>
    <t>Tranche 3
import
nb jour</t>
  </si>
  <si>
    <t>Tranche 3
Import
coût</t>
  </si>
  <si>
    <t>Tranche 4
import
nb jour</t>
  </si>
  <si>
    <t>Tranche 4
Import
coût</t>
  </si>
  <si>
    <t>Tranche 5
import
nb jour</t>
  </si>
  <si>
    <t>Tranche 5
Import
coût</t>
  </si>
  <si>
    <t>Tranche 6
import
nb jour</t>
  </si>
  <si>
    <t>Tranche 6
Import
coût</t>
  </si>
  <si>
    <t>Tranche 7
import
nb jour</t>
  </si>
  <si>
    <t>Tranche 7
Import
coût</t>
  </si>
  <si>
    <t>Tranche 8
import
nb jour</t>
  </si>
  <si>
    <t>Tranche 8
Import
coût</t>
  </si>
  <si>
    <t>Total
Stationnement</t>
  </si>
  <si>
    <t>Contrôle
jours</t>
  </si>
  <si>
    <t>INTRAMAR SA / MED EUROPE TERMINAL</t>
  </si>
  <si>
    <t>Aide au calcul des frais de stationnement IMPORT pour la marchandise roulante au tarif 2024</t>
  </si>
  <si>
    <t>Type2</t>
  </si>
  <si>
    <t>Véhicule de tourisme
Fourgon, Bungalow
Caravane</t>
  </si>
  <si>
    <t>Camion, Remorque
Engin TP sur roues
Ens. Routiers</t>
  </si>
  <si>
    <t>Engins TP 
sur chenilles</t>
  </si>
  <si>
    <r>
      <rPr>
        <sz val="11"/>
        <rFont val="aptos"/>
        <family val="2"/>
      </rPr>
      <t>→</t>
    </r>
    <r>
      <rPr>
        <i/>
        <sz val="11"/>
        <rFont val="aptos"/>
        <family val="2"/>
      </rPr>
      <t xml:space="preserve"> Informer les cellules des colonnes dont les titres sont en orange. Nombre et type sont obligatoires.</t>
    </r>
  </si>
  <si>
    <r>
      <rPr>
        <sz val="11"/>
        <rFont val="aptos"/>
        <family val="2"/>
      </rPr>
      <t>→</t>
    </r>
    <r>
      <rPr>
        <i/>
        <sz val="11"/>
        <rFont val="aptos"/>
        <family val="2"/>
      </rPr>
      <t xml:space="preserve"> Si vous souhaitez des lignes supplémentaires, il suffit de noter le nombre de marchandise sur la ligne à la suite directe de la dernière.</t>
    </r>
  </si>
  <si>
    <t>Nombre de 
marchandises</t>
  </si>
  <si>
    <t>Aide au calcul des frais de stationnement EXPORT pour des conteneurs ou des reefers au tarif 2024
Le tarif export est utilisé aussi pour les transbordements et les retraits de quai auxquels il faut appliquer la TVA et rajouter le montant forfaitaire du retrait de quai (cf tarifs généraux)</t>
  </si>
  <si>
    <t>Date début
'Réception'</t>
  </si>
  <si>
    <t>Date fin
'Embarquement'</t>
  </si>
  <si>
    <t>Tranche 1
export
nb jour</t>
  </si>
  <si>
    <t>Tranche 1
export
coût</t>
  </si>
  <si>
    <t>Tranche 2
export
nb jour</t>
  </si>
  <si>
    <t>Tranche 2
export
coût</t>
  </si>
  <si>
    <t>Tranche 3
export
nb jour</t>
  </si>
  <si>
    <t>Tranche 3
export
coût</t>
  </si>
  <si>
    <t>Tranche 4
export
nb jour</t>
  </si>
  <si>
    <t>Tranche 4
export
coût</t>
  </si>
  <si>
    <t>Tranche 5
export
nb jour</t>
  </si>
  <si>
    <t>Tranche 5
export
coût</t>
  </si>
  <si>
    <t>Tranche 6
export
nb jour</t>
  </si>
  <si>
    <t>Tranche 6
export
coût</t>
  </si>
  <si>
    <t>Tranche 7
export
nb jour</t>
  </si>
  <si>
    <t>Tranche 7
export
coût</t>
  </si>
  <si>
    <t>Tranche 8
export
nb jour</t>
  </si>
  <si>
    <t>Tranche 8
export
coût</t>
  </si>
  <si>
    <t>Aide au calcul des frais de stationnement EXPORT pour la marchandise roulante au tarif 2024</t>
  </si>
  <si>
    <t>Aide au calcul des frais de stationnement IMPORT pour des conteneurs ou des reefers au tarif 2025</t>
  </si>
  <si>
    <t>*Tout dépositaire de Marchandise dans l’installation de stockage temporaire (IST) s'engage conformément à l’article 149 du code des douanes de l’union (CDU) à ce qu'aucune marchandise non-Union ne soit stockée sur le Terminal plus de 90 jours. Cf Zone IST article 13 des conditions générales.</t>
  </si>
  <si>
    <t>Aide au calcul des frais de stationnement IMPORT pour la marchandise roulante au tarif 2025</t>
  </si>
  <si>
    <t>Aide au calcul des frais de stationnement EXPORT pour des conteneurs ou des reefers au tarif 2025
Le tarif export est utilisé aussi pour les transbordements et les retraits de quai auxquels il faut appliquer la TVA et rajouter le montant forfaitaire du retrait de quai (cf tarifs généraux)</t>
  </si>
  <si>
    <t>Aide au calcul des frais de stationnement EXPORT pour la marchandise roulante au tarif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</si>
</sst>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General&quot; j&quot;"/>
    <numFmt numFmtId="165" formatCode="#,##0.0\ &quot;€&quot;"/>
    <numFmt numFmtId="166" formatCode="#,##0.00\ &quot;€&quot;"/>
    <numFmt numFmtId="167" formatCode="dd\-mm\-yy"/>
    <numFmt numFmtId="168" formatCode="#,##0.0000\ &quot;€&quot;"/>
    <numFmt numFmtId="169" formatCode="#,##0.0\ &quot;€&quot;&quot; gratuit&quot;"/>
  </numFmts>
  <fonts count="13" x14ac:knownFonts="1">
    <font>
      <sz val="11"/>
      <color theme="1"/>
      <name val="Calibri"/>
      <family val="2"/>
      <scheme val="minor"/>
    </font>
    <font>
      <sz val="11"/>
      <color theme="1"/>
      <name val="Calibri Light"/>
      <family val="2"/>
      <scheme val="major"/>
    </font>
    <font>
      <sz val="11"/>
      <color theme="1"/>
      <name val="Segoe UI"/>
      <family val="2"/>
    </font>
    <font>
      <sz val="8"/>
      <name val="Calibri"/>
      <family val="2"/>
      <scheme val="minor"/>
    </font>
    <font>
      <b/>
      <sz val="11"/>
      <color theme="0"/>
      <name val="Calibri"/>
      <family val="2"/>
      <scheme val="minor"/>
    </font>
    <font>
      <sz val="11"/>
      <color theme="0"/>
      <name val="aptos"/>
      <family val="2"/>
    </font>
    <font>
      <b/>
      <sz val="11"/>
      <name val="aptos"/>
      <family val="2"/>
    </font>
    <font>
      <sz val="11"/>
      <name val="aptos"/>
      <family val="2"/>
    </font>
    <font>
      <sz val="18"/>
      <color theme="0"/>
      <name val="aptos"/>
      <family val="2"/>
    </font>
    <font>
      <i/>
      <sz val="11"/>
      <name val="aptos"/>
      <family val="2"/>
    </font>
    <font>
      <sz val="11"/>
      <color theme="0" tint="-0.14996795556505021"/>
      <name val="Aptos"/>
      <family val="2"/>
    </font>
    <font>
      <sz val="11"/>
      <color theme="0" tint="-0.14999847407452621"/>
      <name val="aptos"/>
      <family val="2"/>
    </font>
    <font>
      <i/>
      <sz val="18"/>
      <color theme="0"/>
      <name val="Aptos"/>
      <family val="2"/>
    </font>
  </fonts>
  <fills count="7">
    <fill>
      <patternFill patternType="none"/>
    </fill>
    <fill>
      <patternFill patternType="gray125"/>
    </fill>
    <fill>
      <patternFill patternType="solid">
        <fgColor theme="4"/>
        <bgColor theme="4"/>
      </patternFill>
    </fill>
    <fill>
      <patternFill patternType="solid">
        <fgColor theme="5"/>
        <bgColor indexed="64"/>
      </patternFill>
    </fill>
    <fill>
      <patternFill patternType="solid">
        <fgColor theme="0" tint="-0.14999847407452621"/>
        <bgColor theme="0" tint="-0.14999847407452621"/>
      </patternFill>
    </fill>
    <fill>
      <patternFill patternType="solid">
        <fgColor theme="4" tint="0.79998168889431442"/>
        <bgColor indexed="64"/>
      </patternFill>
    </fill>
    <fill>
      <patternFill patternType="solid">
        <fgColor theme="4" tint="-0.499984740745262"/>
        <bgColor indexed="64"/>
      </patternFill>
    </fill>
  </fills>
  <borders count="4">
    <border>
      <left/>
      <right/>
      <top/>
      <bottom/>
      <diagonal/>
    </border>
    <border>
      <left style="thin">
        <color theme="4" tint="0.39997558519241921"/>
      </left>
      <right style="thin">
        <color theme="4" tint="0.39997558519241921"/>
      </right>
      <top/>
      <bottom style="thin">
        <color theme="4" tint="0.39997558519241921"/>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s>
  <cellStyleXfs count="2">
    <xf numFmtId="0" fontId="0" fillId="0" borderId="0"/>
    <xf numFmtId="0" fontId="2" fillId="0" borderId="0"/>
  </cellStyleXfs>
  <cellXfs count="44">
    <xf numFmtId="0" fontId="0" fillId="0" borderId="0" xfId="0"/>
    <xf numFmtId="0" fontId="4" fillId="2" borderId="1" xfId="0" applyFont="1" applyFill="1" applyBorder="1"/>
    <xf numFmtId="0" fontId="7" fillId="0" borderId="0" xfId="0" applyFont="1" applyAlignment="1">
      <alignment vertical="top"/>
    </xf>
    <xf numFmtId="164" fontId="7" fillId="0" borderId="0" xfId="0" applyNumberFormat="1" applyFont="1" applyAlignment="1">
      <alignment vertical="top"/>
    </xf>
    <xf numFmtId="0" fontId="7" fillId="0" borderId="0" xfId="0" applyFont="1" applyAlignment="1">
      <alignment horizontal="right" vertical="top"/>
    </xf>
    <xf numFmtId="165" fontId="7" fillId="0" borderId="0" xfId="1" applyNumberFormat="1" applyFont="1" applyAlignment="1">
      <alignment horizontal="right" vertical="top"/>
    </xf>
    <xf numFmtId="164" fontId="7" fillId="0" borderId="0" xfId="1" applyNumberFormat="1" applyFont="1" applyAlignment="1">
      <alignment horizontal="right" vertical="top"/>
    </xf>
    <xf numFmtId="0" fontId="6" fillId="0" borderId="0" xfId="0" applyFont="1" applyAlignment="1">
      <alignment vertical="top"/>
    </xf>
    <xf numFmtId="0" fontId="7" fillId="0" borderId="0" xfId="0" applyFont="1" applyAlignment="1">
      <alignment horizontal="left" vertical="top"/>
    </xf>
    <xf numFmtId="0" fontId="7" fillId="0" borderId="0" xfId="1" applyFont="1" applyAlignment="1">
      <alignment horizontal="right" vertical="top"/>
    </xf>
    <xf numFmtId="166" fontId="7" fillId="0" borderId="0" xfId="1" applyNumberFormat="1" applyFont="1" applyAlignment="1">
      <alignment horizontal="right" vertical="top"/>
    </xf>
    <xf numFmtId="164" fontId="7" fillId="0" borderId="0" xfId="0" applyNumberFormat="1" applyFont="1" applyAlignment="1">
      <alignment horizontal="left" vertical="top"/>
    </xf>
    <xf numFmtId="0" fontId="9" fillId="0" borderId="0" xfId="0" applyFont="1" applyAlignment="1">
      <alignment horizontal="left" vertical="top"/>
    </xf>
    <xf numFmtId="0" fontId="6" fillId="2" borderId="2" xfId="1" applyFont="1" applyFill="1" applyBorder="1" applyAlignment="1">
      <alignment vertical="top" wrapText="1"/>
    </xf>
    <xf numFmtId="164" fontId="5" fillId="0" borderId="0" xfId="1" applyNumberFormat="1" applyFont="1" applyAlignment="1">
      <alignment horizontal="right" vertical="top"/>
    </xf>
    <xf numFmtId="164" fontId="10" fillId="0" borderId="0" xfId="1" applyNumberFormat="1" applyFont="1" applyAlignment="1">
      <alignment horizontal="right" vertical="top"/>
    </xf>
    <xf numFmtId="164" fontId="7" fillId="0" borderId="0" xfId="0" applyNumberFormat="1" applyFont="1" applyAlignment="1">
      <alignment horizontal="right" vertical="top"/>
    </xf>
    <xf numFmtId="0" fontId="7" fillId="0" borderId="0" xfId="0" applyFont="1" applyAlignment="1" applyProtection="1">
      <alignment vertical="top"/>
      <protection locked="0"/>
    </xf>
    <xf numFmtId="166" fontId="7" fillId="4" borderId="3" xfId="1" applyNumberFormat="1" applyFont="1" applyFill="1" applyBorder="1" applyAlignment="1">
      <alignment vertical="top"/>
    </xf>
    <xf numFmtId="0" fontId="7" fillId="3" borderId="0" xfId="0" applyFont="1" applyFill="1" applyAlignment="1">
      <alignment vertical="top" wrapText="1"/>
    </xf>
    <xf numFmtId="0" fontId="7" fillId="3" borderId="0" xfId="0" applyFont="1" applyFill="1" applyAlignment="1">
      <alignment horizontal="center" vertical="top" wrapText="1"/>
    </xf>
    <xf numFmtId="0" fontId="7" fillId="0" borderId="0" xfId="0" applyFont="1" applyAlignment="1">
      <alignment horizontal="center" vertical="top" wrapText="1"/>
    </xf>
    <xf numFmtId="0" fontId="7" fillId="0" borderId="0" xfId="1" applyFont="1" applyAlignment="1">
      <alignment vertical="top" wrapText="1"/>
    </xf>
    <xf numFmtId="0" fontId="7" fillId="0" borderId="0" xfId="1" applyFont="1" applyAlignment="1">
      <alignment horizontal="left" vertical="top" wrapText="1"/>
    </xf>
    <xf numFmtId="0" fontId="7" fillId="5" borderId="0" xfId="1" applyFont="1" applyFill="1" applyAlignment="1">
      <alignment horizontal="left" vertical="top" wrapText="1"/>
    </xf>
    <xf numFmtId="0" fontId="7" fillId="0" borderId="0" xfId="0" applyFont="1" applyAlignment="1">
      <alignment vertical="top" wrapText="1"/>
    </xf>
    <xf numFmtId="0" fontId="7" fillId="0" borderId="0" xfId="0" applyFont="1" applyAlignment="1" applyProtection="1">
      <alignment horizontal="right" vertical="top"/>
      <protection locked="0"/>
    </xf>
    <xf numFmtId="0" fontId="7" fillId="0" borderId="0" xfId="0" applyFont="1" applyAlignment="1" applyProtection="1">
      <alignment horizontal="left" vertical="top"/>
      <protection locked="0"/>
    </xf>
    <xf numFmtId="167" fontId="7" fillId="0" borderId="0" xfId="0" applyNumberFormat="1" applyFont="1" applyAlignment="1" applyProtection="1">
      <alignment horizontal="left" vertical="top"/>
      <protection locked="0"/>
    </xf>
    <xf numFmtId="164" fontId="7" fillId="0" borderId="0" xfId="1" applyNumberFormat="1" applyFont="1" applyAlignment="1">
      <alignment vertical="top"/>
    </xf>
    <xf numFmtId="168" fontId="7" fillId="0" borderId="0" xfId="1" applyNumberFormat="1" applyFont="1" applyAlignment="1">
      <alignment vertical="top"/>
    </xf>
    <xf numFmtId="166" fontId="7" fillId="0" borderId="0" xfId="1" applyNumberFormat="1" applyFont="1" applyAlignment="1">
      <alignment vertical="top"/>
    </xf>
    <xf numFmtId="0" fontId="1" fillId="0" borderId="0" xfId="0" applyFont="1" applyAlignment="1">
      <alignment wrapText="1"/>
    </xf>
    <xf numFmtId="0" fontId="0" fillId="0" borderId="0" xfId="0" applyAlignment="1">
      <alignment wrapText="1"/>
    </xf>
    <xf numFmtId="0" fontId="7" fillId="0" borderId="0" xfId="0" applyFont="1" applyAlignment="1">
      <alignment horizontal="left" vertical="top" wrapText="1"/>
    </xf>
    <xf numFmtId="164" fontId="11" fillId="0" borderId="0" xfId="1" applyNumberFormat="1" applyFont="1" applyAlignment="1">
      <alignment horizontal="right" vertical="top"/>
    </xf>
    <xf numFmtId="0" fontId="7" fillId="3" borderId="0" xfId="0" applyFont="1" applyFill="1" applyAlignment="1">
      <alignment vertical="top"/>
    </xf>
    <xf numFmtId="169" fontId="7" fillId="0" borderId="0" xfId="1" applyNumberFormat="1" applyFont="1" applyAlignment="1">
      <alignment horizontal="right" vertical="top"/>
    </xf>
    <xf numFmtId="0" fontId="12" fillId="3" borderId="0" xfId="0" applyFont="1" applyFill="1" applyAlignment="1">
      <alignment horizontal="left" vertical="top"/>
    </xf>
    <xf numFmtId="0" fontId="9" fillId="0" borderId="0" xfId="0" applyFont="1" applyAlignment="1">
      <alignment horizontal="left" vertical="top"/>
    </xf>
    <xf numFmtId="0" fontId="8" fillId="6" borderId="0" xfId="0" applyFont="1" applyFill="1" applyAlignment="1">
      <alignment horizontal="left" vertical="top"/>
    </xf>
    <xf numFmtId="0" fontId="12" fillId="3" borderId="0" xfId="0" applyFont="1" applyFill="1" applyAlignment="1">
      <alignment horizontal="left" vertical="top"/>
    </xf>
    <xf numFmtId="0" fontId="9" fillId="0" borderId="0" xfId="0" applyFont="1" applyAlignment="1">
      <alignment horizontal="left" vertical="top" wrapText="1"/>
    </xf>
    <xf numFmtId="0" fontId="8" fillId="6" borderId="0" xfId="0" applyFont="1" applyFill="1" applyAlignment="1">
      <alignment horizontal="left" vertical="top" wrapText="1"/>
    </xf>
  </cellXfs>
  <cellStyles count="2">
    <cellStyle name="Normal" xfId="0" builtinId="0"/>
    <cellStyle name="Normal 2" xfId="1" xr:uid="{9EB58D90-8044-40C3-82CC-FBC9DF64A54F}"/>
  </cellStyles>
  <dxfs count="295">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lef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left"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rgb="FF000000"/>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auto="1"/>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8" formatCode="#,##0.0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7" formatCode="dd\-mm\-yy"/>
      <fill>
        <patternFill patternType="none">
          <fgColor indexed="64"/>
          <bgColor indexed="65"/>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numFmt numFmtId="167" formatCode="dd\-mm\-yy"/>
      <fill>
        <patternFill patternType="none">
          <fgColor indexed="64"/>
          <bgColor indexed="65"/>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numFmt numFmtId="1" formatCode="0"/>
      <fill>
        <patternFill patternType="none">
          <fgColor indexed="64"/>
          <bgColor indexed="65"/>
        </patternFill>
      </fill>
      <alignment horizontal="righ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fill>
        <patternFill patternType="none">
          <fgColor indexed="64"/>
          <bgColor indexed="65"/>
        </patternFill>
      </fill>
      <alignment horizontal="general"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fill>
        <patternFill patternType="none">
          <fgColor rgb="FF000000"/>
          <bgColor rgb="FFFFFFFF"/>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auto="1"/>
        </patternFill>
      </fill>
      <alignment horizontal="general" vertical="top" textRotation="0" wrapText="1"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auto="1"/>
        </patternFill>
      </fill>
      <alignment horizontal="lef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lef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left"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rgb="FF000000"/>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auto="1"/>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8" formatCode="#,##0.0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indexed="65"/>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7" formatCode="dd\-mm\-yy"/>
      <fill>
        <patternFill patternType="none">
          <fgColor indexed="64"/>
          <bgColor indexed="65"/>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numFmt numFmtId="167" formatCode="dd\-mm\-yy"/>
      <fill>
        <patternFill patternType="none">
          <fgColor indexed="64"/>
          <bgColor indexed="65"/>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fill>
        <patternFill patternType="none">
          <fgColor indexed="64"/>
          <bgColor indexed="65"/>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numFmt numFmtId="1" formatCode="0"/>
      <fill>
        <patternFill patternType="none">
          <fgColor indexed="64"/>
          <bgColor indexed="65"/>
        </patternFill>
      </fill>
      <alignment horizontal="righ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fill>
        <patternFill patternType="none">
          <fgColor indexed="64"/>
          <bgColor indexed="65"/>
        </patternFill>
      </fill>
      <alignment horizontal="general"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fill>
        <patternFill patternType="none">
          <fgColor rgb="FF000000"/>
          <bgColor rgb="FFFFFFFF"/>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auto="1"/>
        </patternFill>
      </fill>
      <alignment horizontal="general" vertical="top" textRotation="0" wrapText="1"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lef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left"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rgb="FF000000"/>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auto="1"/>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8" formatCode="#,##0.0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7" formatCode="dd\-mm\-yy"/>
      <fill>
        <patternFill patternType="none">
          <fgColor indexed="64"/>
          <bgColor indexed="65"/>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numFmt numFmtId="167" formatCode="dd\-mm\-yy"/>
      <fill>
        <patternFill patternType="none">
          <fgColor indexed="64"/>
          <bgColor indexed="65"/>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numFmt numFmtId="1" formatCode="0"/>
      <fill>
        <patternFill patternType="none">
          <fgColor indexed="64"/>
          <bgColor indexed="65"/>
        </patternFill>
      </fill>
      <alignment horizontal="righ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fill>
        <patternFill patternType="none">
          <fgColor indexed="64"/>
          <bgColor indexed="65"/>
        </patternFill>
      </fill>
      <alignment horizontal="general"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fill>
        <patternFill patternType="none">
          <fgColor rgb="FF000000"/>
          <bgColor rgb="FFFFFFFF"/>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auto="1"/>
        </patternFill>
      </fill>
      <alignment horizontal="general" vertical="top" textRotation="0" wrapText="1"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auto="1"/>
        </patternFill>
      </fill>
      <alignment horizontal="lef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lef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left"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auto="1"/>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8" formatCode="#,##0.0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indexed="65"/>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7" formatCode="dd\-mm\-yy"/>
      <fill>
        <patternFill patternType="none">
          <fgColor indexed="64"/>
          <bgColor indexed="65"/>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numFmt numFmtId="167" formatCode="dd\-mm\-yy"/>
      <fill>
        <patternFill patternType="none">
          <fgColor indexed="64"/>
          <bgColor indexed="65"/>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fill>
        <patternFill patternType="none">
          <fgColor indexed="64"/>
          <bgColor indexed="65"/>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numFmt numFmtId="1" formatCode="0"/>
      <fill>
        <patternFill patternType="none">
          <fgColor indexed="64"/>
          <bgColor indexed="65"/>
        </patternFill>
      </fill>
      <alignment horizontal="righ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fill>
        <patternFill patternType="none">
          <fgColor indexed="64"/>
          <bgColor indexed="65"/>
        </patternFill>
      </fill>
      <alignment horizontal="general"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auto="1"/>
        </patternFill>
      </fill>
      <alignment horizontal="general" vertical="top" textRotation="0" wrapText="1"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lef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left"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rgb="FF000000"/>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auto="1"/>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8" formatCode="#,##0.0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7" formatCode="dd\-mm\-yy"/>
      <fill>
        <patternFill patternType="none">
          <fgColor indexed="64"/>
          <bgColor indexed="65"/>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numFmt numFmtId="167" formatCode="dd\-mm\-yy"/>
      <fill>
        <patternFill patternType="none">
          <fgColor indexed="64"/>
          <bgColor indexed="65"/>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numFmt numFmtId="1" formatCode="0"/>
      <fill>
        <patternFill patternType="none">
          <fgColor indexed="64"/>
          <bgColor indexed="65"/>
        </patternFill>
      </fill>
      <alignment horizontal="righ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fill>
        <patternFill patternType="none">
          <fgColor indexed="64"/>
          <bgColor indexed="65"/>
        </patternFill>
      </fill>
      <alignment horizontal="general"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fill>
        <patternFill patternType="none">
          <fgColor rgb="FF000000"/>
          <bgColor rgb="FFFFFFFF"/>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auto="1"/>
        </patternFill>
      </fill>
      <alignment horizontal="general" vertical="top" textRotation="0" wrapText="1"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auto="1"/>
        </patternFill>
      </fill>
      <alignment horizontal="lef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lef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left"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rgb="FF000000"/>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auto="1"/>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8" formatCode="#,##0.0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indexed="65"/>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7" formatCode="dd\-mm\-yy"/>
      <fill>
        <patternFill patternType="none">
          <fgColor indexed="64"/>
          <bgColor indexed="65"/>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numFmt numFmtId="167" formatCode="dd\-mm\-yy"/>
      <fill>
        <patternFill patternType="none">
          <fgColor indexed="64"/>
          <bgColor indexed="65"/>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fill>
        <patternFill patternType="none">
          <fgColor indexed="64"/>
          <bgColor indexed="65"/>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numFmt numFmtId="1" formatCode="0"/>
      <fill>
        <patternFill patternType="none">
          <fgColor indexed="64"/>
          <bgColor indexed="65"/>
        </patternFill>
      </fill>
      <alignment horizontal="righ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fill>
        <patternFill patternType="none">
          <fgColor indexed="64"/>
          <bgColor indexed="65"/>
        </patternFill>
      </fill>
      <alignment horizontal="general"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fill>
        <patternFill patternType="none">
          <fgColor rgb="FF000000"/>
          <bgColor rgb="FFFFFFFF"/>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auto="1"/>
        </patternFill>
      </fill>
      <alignment horizontal="general" vertical="top" textRotation="0" wrapText="1"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lef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left"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rgb="FF000000"/>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auto="1"/>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8" formatCode="#,##0.0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7" formatCode="dd\-mm\-yy"/>
      <fill>
        <patternFill patternType="none">
          <fgColor indexed="64"/>
          <bgColor indexed="65"/>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numFmt numFmtId="167" formatCode="dd\-mm\-yy"/>
      <fill>
        <patternFill patternType="none">
          <fgColor indexed="64"/>
          <bgColor indexed="65"/>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numFmt numFmtId="1" formatCode="0"/>
      <fill>
        <patternFill patternType="none">
          <fgColor indexed="64"/>
          <bgColor indexed="65"/>
        </patternFill>
      </fill>
      <alignment horizontal="righ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fill>
        <patternFill patternType="none">
          <fgColor indexed="64"/>
          <bgColor indexed="65"/>
        </patternFill>
      </fill>
      <alignment horizontal="general"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fill>
        <patternFill patternType="none">
          <fgColor rgb="FF000000"/>
          <bgColor rgb="FFFFFFFF"/>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auto="1"/>
        </patternFill>
      </fill>
      <alignment horizontal="general" vertical="top" textRotation="0" wrapText="1"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auto="1"/>
        </patternFill>
      </fill>
      <alignment horizontal="lef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lef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left"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rgb="FF000000"/>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auto="1"/>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8" formatCode="#,##0.0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indexed="65"/>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7" formatCode="dd\-mm\-yy"/>
      <fill>
        <patternFill patternType="none">
          <fgColor indexed="64"/>
          <bgColor indexed="65"/>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numFmt numFmtId="167" formatCode="dd\-mm\-yy"/>
      <fill>
        <patternFill patternType="none">
          <fgColor indexed="64"/>
          <bgColor indexed="65"/>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fill>
        <patternFill patternType="none">
          <fgColor indexed="64"/>
          <bgColor indexed="65"/>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numFmt numFmtId="1" formatCode="0"/>
      <fill>
        <patternFill patternType="none">
          <fgColor indexed="64"/>
          <bgColor indexed="65"/>
        </patternFill>
      </fill>
      <alignment horizontal="righ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fill>
        <patternFill patternType="none">
          <fgColor indexed="64"/>
          <bgColor indexed="65"/>
        </patternFill>
      </fill>
      <alignment horizontal="general"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fill>
        <patternFill patternType="none">
          <fgColor rgb="FF000000"/>
          <bgColor rgb="FFFFFFFF"/>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auto="1"/>
        </patternFill>
      </fill>
      <alignment horizontal="general" vertical="top" textRotation="0" wrapText="1" indent="0" justifyLastLine="0" shrinkToFit="0" readingOrder="0"/>
    </dxf>
    <dxf>
      <border outline="0">
        <top style="thin">
          <color theme="4" tint="0.39997558519241921"/>
        </top>
      </border>
    </dxf>
    <dxf>
      <border outline="0">
        <bottom style="thin">
          <color theme="4" tint="0.39997558519241921"/>
        </bottom>
      </border>
    </dxf>
    <dxf>
      <font>
        <b/>
        <i val="0"/>
        <strike val="0"/>
        <condense val="0"/>
        <extend val="0"/>
        <outline val="0"/>
        <shadow val="0"/>
        <u val="none"/>
        <vertAlign val="baseline"/>
        <sz val="11"/>
        <color theme="0"/>
        <name val="Calibri"/>
        <family val="2"/>
        <scheme val="minor"/>
      </font>
      <fill>
        <patternFill patternType="solid">
          <fgColor theme="4"/>
          <bgColor theme="4"/>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B96FF5AB-6E13-4B80-8F93-A2B765B42C5F}" name="sss" displayName="sss" ref="A1:A4" totalsRowShown="0">
  <autoFilter ref="A1:A4" xr:uid="{B96FF5AB-6E13-4B80-8F93-A2B765B42C5F}"/>
  <tableColumns count="1">
    <tableColumn id="1" xr3:uid="{429C57E8-28AC-4952-88DF-B189B020F5E1}" name="longueur"/>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22769E1-C818-475E-A67E-24AABEFDE7C7}" name="ohdgx" displayName="ohdgx" ref="C1:C4" totalsRowShown="0" headerRowDxfId="294" headerRowBorderDxfId="293" tableBorderDxfId="292">
  <autoFilter ref="C1:C4" xr:uid="{022769E1-C818-475E-A67E-24AABEFDE7C7}"/>
  <tableColumns count="1">
    <tableColumn id="1" xr3:uid="{D6B75AD3-3EB5-484D-B001-4117C3EB39E9}" name="ohdgx"/>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6F012224-7669-4F38-85AF-94711358625A}" name="Tableau1" displayName="Tableau1" ref="E1:E4" totalsRowShown="0">
  <autoFilter ref="E1:E4" xr:uid="{6F012224-7669-4F38-85AF-94711358625A}"/>
  <tableColumns count="1">
    <tableColumn id="1" xr3:uid="{71F6E3D1-908A-4D7C-848B-BB0EDBDA4022}" name="Marchandise"/>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54666F1D-17C2-44CF-849E-C2AEDFF0748B}" name="Tableau1513" displayName="Tableau1513" ref="A21:Y22" totalsRowShown="0" headerRowDxfId="291" dataDxfId="290" headerRowCellStyle="Normal 2" dataCellStyle="Normal 2">
  <autoFilter ref="A21:Y22" xr:uid="{3C190F7E-BA00-4AB8-A2C7-82B5CC61FD85}"/>
  <tableColumns count="25">
    <tableColumn id="1" xr3:uid="{BBB5A973-2EC0-4EE5-90AF-9F1B80546567}" name="Nombre de _x000a_conteneur" dataDxfId="289"/>
    <tableColumn id="9" xr3:uid="{FFA1BD1F-DCD8-4C9E-8E17-1986F44756A4}" name="Taille" dataDxfId="288"/>
    <tableColumn id="10" xr3:uid="{323A14CF-A76A-4F55-A495-F44C5B6EE277}" name="Type_x000a_OH/DGX" dataDxfId="287"/>
    <tableColumn id="2" xr3:uid="{B640BC36-8D19-4BC5-90B8-20067147C503}" name="Date début_x000a_'Débarquement'" dataDxfId="286"/>
    <tableColumn id="3" xr3:uid="{D255A218-3345-47A5-A697-772C08A8DB6B}" name="Date fin_x000a_'Livraison'" dataDxfId="285"/>
    <tableColumn id="23" xr3:uid="{C065DDB3-34C9-4E5B-AEB1-C8BA10D4B3FF}" name="20/40OH" dataDxfId="284">
      <calculatedColumnFormula>IF(OR(Tableau1513[[#This Row],[Type
OH/DGX]]="DGX",Tableau1513[[#This Row],[Type
OH/DGX]]="OH"),CONCATENATE(Tableau1513[[#This Row],[Taille]]," ohdgx"),Tableau1513[[#This Row],[Taille]])</calculatedColumnFormula>
    </tableColumn>
    <tableColumn id="11" xr3:uid="{6BE70281-31E6-4C1A-9548-0CB1C7E0F5D3}" name="Nombre_x000a_jours_x000a_total" dataDxfId="283">
      <calculatedColumnFormula>IF(Tableau1513[[#This Row],[Nombre de 
conteneur]]=0,0,Tableau1513[[#This Row],[Date fin
''Livraison'']]-Tableau1513[[#This Row],[Date début
''Débarquement'']]+1)</calculatedColumnFormula>
    </tableColumn>
    <tableColumn id="12" xr3:uid="{D6921A8C-3BA1-416C-BED3-09F96E5AF5A5}" name="Tranche 1_x000a_import_x000a_nb jour" dataDxfId="282" dataCellStyle="Normal 2">
      <calculatedColumnFormula>IF(Tableau1513[[#This Row],[Nombre
jours
total]]&lt;=G$14,Tableau1513[[#This Row],[Nombre
jours
total]],G$14)</calculatedColumnFormula>
    </tableColumn>
    <tableColumn id="4" xr3:uid="{85CCE1F6-26C7-4359-A877-A9B62B2F1586}" name="Tranche 1_x000a_Import_x000a_coût" dataDxfId="281" dataCellStyle="Normal 2">
      <calculatedColumnFormula>IFERROR(VLOOKUP(Tableau1513[[#This Row],[20/40OH]],Tableau614[[20/40OH]:[tranche 8]],2,FALSE)*Tableau1513[[#This Row],[Tranche 1
import
nb jour]]*Tableau1513[[#This Row],[Nombre de 
conteneur]],0)</calculatedColumnFormula>
    </tableColumn>
    <tableColumn id="13" xr3:uid="{3A911B28-9655-4DD5-B592-38F518D54ACF}" name="Tranche 2_x000a_import_x000a_nb jour" dataDxfId="280" dataCellStyle="Normal 2">
      <calculatedColumnFormula>IF(AND(Tableau1513[[#This Row],[Nombre
jours
total]]&gt;=H$13,Tableau1513[[#This Row],[Nombre
jours
total]]&lt;=H$14),Tableau1513[[#This Row],[Nombre
jours
total]]-H$13+1,IF(Tableau1513[[#This Row],[Nombre
jours
total]]&lt;H$13,0,IF(Tableau1513[[#This Row],[Nombre
jours
total]]&gt;H$14,H$14-H$13+1)))</calculatedColumnFormula>
    </tableColumn>
    <tableColumn id="5" xr3:uid="{52E9908F-4959-4C9D-B26F-274D5F5EE02E}" name="Tranche 2_x000a_Import_x000a_coût" dataDxfId="279" dataCellStyle="Normal 2">
      <calculatedColumnFormula>IFERROR(VLOOKUP(Tableau1513[[#This Row],[20/40OH]],Tableau614[[20/40OH]:[tranche 8]],3,FALSE)*Tableau1513[[#This Row],[Tranche 2
import
nb jour]]*Tableau1513[[#This Row],[Nombre de 
conteneur]],0)</calculatedColumnFormula>
    </tableColumn>
    <tableColumn id="14" xr3:uid="{A235D3F5-3009-49B0-AFD7-2D6B8A185EE9}" name="Tranche 3_x000a_import_x000a_nb jour" dataDxfId="278" dataCellStyle="Normal 2">
      <calculatedColumnFormula>IF(AND(Tableau1513[[#This Row],[Nombre
jours
total]]&gt;=I$13,Tableau1513[[#This Row],[Nombre
jours
total]]&lt;=I$14),Tableau1513[[#This Row],[Nombre
jours
total]]-I$13+1,IF(Tableau1513[[#This Row],[Nombre
jours
total]]&lt;I$13,0,IF(Tableau1513[[#This Row],[Nombre
jours
total]]&gt;I$14,I$14-I$13+1)))</calculatedColumnFormula>
    </tableColumn>
    <tableColumn id="6" xr3:uid="{59DBC8F6-01EC-4CA7-8DB9-4F7381A09D50}" name="Tranche 3_x000a_Import_x000a_coût" dataDxfId="277" dataCellStyle="Normal 2">
      <calculatedColumnFormula>IFERROR(VLOOKUP(Tableau1513[[#This Row],[20/40OH]],Tableau614[[20/40OH]:[tranche 8]],4,FALSE)*Tableau1513[[#This Row],[Tranche 3
import
nb jour]]*Tableau1513[[#This Row],[Nombre de 
conteneur]],0)</calculatedColumnFormula>
    </tableColumn>
    <tableColumn id="15" xr3:uid="{4CDEF467-AA13-4E83-9B14-721A3AEF93CF}" name="Tranche 4_x000a_import_x000a_nb jour" dataDxfId="276" dataCellStyle="Normal 2">
      <calculatedColumnFormula>IF(AND(Tableau1513[[#This Row],[Nombre
jours
total]]&gt;=J$13,Tableau1513[[#This Row],[Nombre
jours
total]]&lt;=J$14),Tableau1513[[#This Row],[Nombre
jours
total]]-J$13+1,IF(Tableau1513[[#This Row],[Nombre
jours
total]]&lt;J$13,0,IF(Tableau1513[[#This Row],[Nombre
jours
total]]&gt;J$14,J$14-J$13+1)))</calculatedColumnFormula>
    </tableColumn>
    <tableColumn id="7" xr3:uid="{A80E0AA1-EF62-4671-9717-03DC7DB2F57F}" name="Tranche 4_x000a_Import_x000a_coût" dataDxfId="275" dataCellStyle="Normal 2">
      <calculatedColumnFormula>IFERROR(VLOOKUP(Tableau1513[[#This Row],[20/40OH]],Tableau614[[20/40OH]:[tranche 8]],5,FALSE)*Tableau1513[[#This Row],[Tranche 4
import
nb jour]]*Tableau1513[[#This Row],[Nombre de 
conteneur]],0)</calculatedColumnFormula>
    </tableColumn>
    <tableColumn id="16" xr3:uid="{E3934601-E8AE-445A-8286-A5F60EC5C0E9}" name="Tranche 5_x000a_import_x000a_nb jour" dataDxfId="274" dataCellStyle="Normal 2">
      <calculatedColumnFormula>IF(AND(Tableau1513[[#This Row],[Nombre
jours
total]]&gt;=K$13,Tableau1513[[#This Row],[Nombre
jours
total]]&lt;=K$14),Tableau1513[[#This Row],[Nombre
jours
total]]-K$13+1,IF(Tableau1513[[#This Row],[Nombre
jours
total]]&lt;K$13,0,IF(Tableau1513[[#This Row],[Nombre
jours
total]]&gt;K$14,K$14-K$13+1)))</calculatedColumnFormula>
    </tableColumn>
    <tableColumn id="8" xr3:uid="{A4A7279E-9C7E-429C-ABAD-EDAAFC42D2A1}" name="Tranche 5_x000a_Import_x000a_coût" dataDxfId="273" dataCellStyle="Normal 2">
      <calculatedColumnFormula>IFERROR(VLOOKUP(Tableau1513[[#This Row],[20/40OH]],Tableau614[[20/40OH]:[tranche 8]],6,FALSE)*Tableau1513[[#This Row],[Tranche 5
import
nb jour]]*Tableau1513[[#This Row],[Nombre de 
conteneur]],0)</calculatedColumnFormula>
    </tableColumn>
    <tableColumn id="17" xr3:uid="{DACF6CF6-BCC9-41AF-A2BB-B03119878833}" name="Tranche 6_x000a_import_x000a_nb jour" dataDxfId="272" dataCellStyle="Normal 2">
      <calculatedColumnFormula>IF(AND(Tableau1513[[#This Row],[Nombre
jours
total]]&gt;=L$13,Tableau1513[[#This Row],[Nombre
jours
total]]&lt;=L$14),Tableau1513[[#This Row],[Nombre
jours
total]]-L$13+1,IF(Tableau1513[[#This Row],[Nombre
jours
total]]&lt;L$13,0,IF(Tableau1513[[#This Row],[Nombre
jours
total]]&gt;L$14,L$14-L$13+1)))</calculatedColumnFormula>
    </tableColumn>
    <tableColumn id="20" xr3:uid="{F3A2F1A5-4B00-4CEB-AABB-A1FD153769F7}" name="Tranche 6_x000a_Import_x000a_coût" dataDxfId="271" dataCellStyle="Normal 2">
      <calculatedColumnFormula>IFERROR(VLOOKUP(Tableau1513[[#This Row],[20/40OH]],Tableau614[[20/40OH]:[tranche 8]],7,FALSE)*Tableau1513[[#This Row],[Tranche 6
import
nb jour]]*Tableau1513[[#This Row],[Nombre de 
conteneur]],0)</calculatedColumnFormula>
    </tableColumn>
    <tableColumn id="18" xr3:uid="{71EDB197-B07F-41F5-9642-869043959BC2}" name="Tranche 7_x000a_import_x000a_nb jour" dataDxfId="270" dataCellStyle="Normal 2">
      <calculatedColumnFormula>IF(AND(Tableau1513[[#This Row],[Nombre
jours
total]]&gt;=M$13,Tableau1513[[#This Row],[Nombre
jours
total]]&lt;=M$14),Tableau1513[[#This Row],[Nombre
jours
total]]-M$13+1,IF(Tableau1513[[#This Row],[Nombre
jours
total]]&lt;M$13,0,IF(Tableau1513[[#This Row],[Nombre
jours
total]]&gt;M$14,M$14-M$13+1)))</calculatedColumnFormula>
    </tableColumn>
    <tableColumn id="24" xr3:uid="{928878F6-05F3-4969-8D69-D2DA3292573B}" name="Tranche 7_x000a_Import_x000a_coût" dataDxfId="269" dataCellStyle="Normal 2">
      <calculatedColumnFormula>IFERROR(VLOOKUP(Tableau1513[[#This Row],[20/40OH]],Tableau614[[20/40OH]:[tranche 8]],8,FALSE)*Tableau1513[[#This Row],[Tranche 7
import
nb jour]]*Tableau1513[[#This Row],[Nombre de 
conteneur]],0)</calculatedColumnFormula>
    </tableColumn>
    <tableColumn id="19" xr3:uid="{A2F324D9-BD7E-442F-B2FD-814CC5511185}" name="Tranche 8_x000a_import_x000a_nb jour" dataDxfId="268" dataCellStyle="Normal 2">
      <calculatedColumnFormula>IF(AND(Tableau1513[[#This Row],[Nombre
jours
total]]&gt;=N$13,Tableau1513[[#This Row],[Nombre
jours
total]]&lt;=N$14),Tableau1513[[#This Row],[Nombre
jours
total]]-N$13+1,IF(Tableau1513[[#This Row],[Nombre
jours
total]]&lt;N$13,0,IF(Tableau1513[[#This Row],[Nombre
jours
total]]&gt;N$14,N$14-N$13+1)))</calculatedColumnFormula>
    </tableColumn>
    <tableColumn id="25" xr3:uid="{0819E08C-DEC4-4FED-84D6-AD1191B74629}" name="Tranche 8_x000a_Import_x000a_coût" dataDxfId="267" dataCellStyle="Normal 2">
      <calculatedColumnFormula>IFERROR(VLOOKUP(Tableau1513[[#This Row],[20/40OH]],Tableau614[[20/40OH]:[tranche 8]],9,FALSE)*Tableau1513[[#This Row],[Tranche 8
import
nb jour]]*Tableau1513[[#This Row],[Nombre de 
conteneur]],0)</calculatedColumnFormula>
    </tableColumn>
    <tableColumn id="26" xr3:uid="{C662B304-DBB8-4D65-ACA0-505140435FED}" name="Total_x000a_Stationnement" dataDxfId="266" dataCellStyle="Normal 2">
      <calculatedColumnFormula>+Tableau1513[[#This Row],[Tranche 8
Import
coût]]+Tableau1513[[#This Row],[Tranche 7
Import
coût]]+Tableau1513[[#This Row],[Tranche 6
Import
coût]]+Tableau1513[[#This Row],[Tranche 5
Import
coût]]+Tableau1513[[#This Row],[Tranche 4
Import
coût]]+Tableau1513[[#This Row],[Tranche 3
Import
coût]]+Tableau1513[[#This Row],[Tranche 2
Import
coût]]</calculatedColumnFormula>
    </tableColumn>
    <tableColumn id="21" xr3:uid="{67935E78-00FE-4517-A1BF-701BC586A223}" name="Contrôle_x000a_jours" dataDxfId="265">
      <calculatedColumnFormula>+Tableau1513[[#This Row],[Tranche 8
import
nb jour]]+Tableau1513[[#This Row],[Tranche 7
import
nb jour]]+Tableau1513[[#This Row],[Tranche 6
import
nb jour]]+Tableau1513[[#This Row],[Tranche 5
import
nb jour]]+Tableau1513[[#This Row],[Tranche 4
import
nb jour]]+Tableau1513[[#This Row],[Tranche 3
import
nb jour]]+Tableau1513[[#This Row],[Tranche 2
import
nb jour]]+Tableau1513[[#This Row],[Tranche 1
import
nb jour]]-Tableau1513[[#This Row],[Nombre
jours
total]]</calculatedColumnFormula>
    </tableColumn>
  </tableColumns>
  <tableStyleInfo name="TableStyleMedium16"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CAC1DD0A-23F7-4804-8CE3-E8B3FE3B704B}" name="Tableau614" displayName="Tableau614" ref="D6:N15" totalsRowShown="0" headerRowDxfId="264" dataDxfId="263" dataCellStyle="Normal 2">
  <autoFilter ref="D6:N15" xr:uid="{A6973159-7BFD-4030-9BB4-4D83ADE3DCBF}"/>
  <tableColumns count="11">
    <tableColumn id="14" xr3:uid="{C219BFC7-52CF-4006-A445-CE2B14B1EBE4}" name="Taille" dataDxfId="262" dataCellStyle="Normal 2"/>
    <tableColumn id="13" xr3:uid="{7797281A-5BFE-4E11-954A-CF60199FF3E2}" name="Type" dataDxfId="261" dataCellStyle="Normal 2"/>
    <tableColumn id="1" xr3:uid="{86066717-995C-4D9F-9708-DC30B6637E7E}" name="20/40OH" dataDxfId="260"/>
    <tableColumn id="3" xr3:uid="{3DC40F36-D52E-4E88-8F73-F6F98E556553}" name="tranche 1" dataDxfId="259" dataCellStyle="Normal 2"/>
    <tableColumn id="4" xr3:uid="{FFB8C5CA-9A9B-4227-9CF5-F27C8C337E3F}" name="tranche 2" dataDxfId="258" dataCellStyle="Normal 2"/>
    <tableColumn id="5" xr3:uid="{E54A1D59-5967-4A15-B553-EAAC17B79218}" name="tranche 3" dataDxfId="257" dataCellStyle="Normal 2"/>
    <tableColumn id="6" xr3:uid="{8C4963AC-A112-4AF6-B876-585E61FB3288}" name="tranche 4" dataDxfId="256" dataCellStyle="Normal 2"/>
    <tableColumn id="7" xr3:uid="{A0320D5C-F3DD-4541-9475-0A76DDBC5A63}" name="tranche 5" dataDxfId="255" dataCellStyle="Normal 2"/>
    <tableColumn id="8" xr3:uid="{E560D81B-FA94-46E5-A90F-A435E5C9874E}" name="tranche 6" dataDxfId="254" dataCellStyle="Normal 2"/>
    <tableColumn id="9" xr3:uid="{74F9D066-2C23-4EA3-BF8A-C434E476AF9D}" name="tranche 7" dataDxfId="253" dataCellStyle="Normal 2"/>
    <tableColumn id="10" xr3:uid="{A56C6D77-7CA7-4595-8BC9-1BF79F8B1390}" name="tranche 8" dataDxfId="252" dataCellStyle="Normal 2"/>
  </tableColumns>
  <tableStyleInfo name="TableStyleMedium16"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5FC34C0A-88AE-47E4-99B6-530CB7CD0257}" name="Tableau151015" displayName="Tableau151015" ref="A18:T19" totalsRowShown="0" headerRowDxfId="251" dataDxfId="250" headerRowCellStyle="Normal 2" dataCellStyle="Normal 2">
  <autoFilter ref="A18:T19" xr:uid="{3C190F7E-BA00-4AB8-A2C7-82B5CC61FD85}"/>
  <tableColumns count="20">
    <tableColumn id="1" xr3:uid="{65845E57-F679-4DAB-87E8-0B5B08CEF3B7}" name="Nombre de _x000a_marchandises" dataDxfId="249"/>
    <tableColumn id="9" xr3:uid="{91DEF8FC-9651-47C1-895A-3AEB27C5BBE0}" name="Type" dataDxfId="248"/>
    <tableColumn id="2" xr3:uid="{EB9CC5E9-B0E4-4095-8775-10098F91CE74}" name="Date début_x000a_'Débarquement'" dataDxfId="247"/>
    <tableColumn id="3" xr3:uid="{EC82A22D-0FEA-4B66-9FC7-D474D7834052}" name="Date fin_x000a_'Livraison'" dataDxfId="246"/>
    <tableColumn id="11" xr3:uid="{515CF2D3-0AB0-49D0-BC8D-6E74F2E3F3B1}" name="Nombre_x000a_jours_x000a_total" dataDxfId="245">
      <calculatedColumnFormula>+IF(Tableau151015[[#This Row],[Nombre de 
marchandises]]="",0,Tableau151015[[#This Row],[Date fin
''Livraison'']]-Tableau151015[[#This Row],[Date début
''Débarquement'']]+1)</calculatedColumnFormula>
    </tableColumn>
    <tableColumn id="12" xr3:uid="{F2D6A34E-B1A2-4E69-A7C5-E1EFCCC313CF}" name="Tranche 1_x000a_import_x000a_nb jour" dataDxfId="244" dataCellStyle="Normal 2">
      <calculatedColumnFormula>IF(Tableau151015[[#This Row],[Nombre
jours
total]]&lt;=F$11,Tableau151015[[#This Row],[Nombre
jours
total]],F$11)</calculatedColumnFormula>
    </tableColumn>
    <tableColumn id="4" xr3:uid="{BC6E0F02-F9AD-4592-BB95-B7EEF3C3B942}" name="Tranche 1_x000a_Import_x000a_coût" dataDxfId="243" dataCellStyle="Normal 2">
      <calculatedColumnFormula>IFERROR(VLOOKUP(Tableau151015[[#This Row],[Type]],Tableau61116[],3,FALSE)*Tableau151015[[#This Row],[Tranche 1
import
nb jour]]*Tableau151015[[#This Row],[Nombre de 
marchandises]],0)</calculatedColumnFormula>
    </tableColumn>
    <tableColumn id="13" xr3:uid="{CEEE3639-0756-451F-9CEC-E8EEDC4C6B8A}" name="Tranche 2_x000a_import_x000a_nb jour" dataDxfId="242" dataCellStyle="Normal 2">
      <calculatedColumnFormula>IF(AND(Tableau151015[[#This Row],[Nombre
jours
total]]&gt;=G$10,Tableau151015[[#This Row],[Nombre
jours
total]]&lt;=G$11),Tableau151015[[#This Row],[Nombre
jours
total]]-G$10+1,IF(Tableau151015[[#This Row],[Nombre
jours
total]]&lt;G$10,0,IF(Tableau151015[[#This Row],[Nombre
jours
total]]&gt;G$11,G$11-G$10+1)))</calculatedColumnFormula>
    </tableColumn>
    <tableColumn id="5" xr3:uid="{27A7FE3C-9ECA-402D-A50B-225EA6D578DE}" name="Tranche 2_x000a_Import_x000a_coût" dataDxfId="241" dataCellStyle="Normal 2">
      <calculatedColumnFormula>IFERROR(VLOOKUP(Tableau151015[[#This Row],[Type]],Tableau61116[],4,FALSE)*Tableau151015[[#This Row],[Tranche 2
import
nb jour]]*Tableau151015[[#This Row],[Nombre de 
marchandises]],0)</calculatedColumnFormula>
    </tableColumn>
    <tableColumn id="14" xr3:uid="{0AFDA2B2-B00A-40DE-B181-2587944C0A7E}" name="Tranche 3_x000a_import_x000a_nb jour" dataDxfId="240" dataCellStyle="Normal 2">
      <calculatedColumnFormula>IF(AND(Tableau151015[[#This Row],[Nombre
jours
total]]&gt;=H$10,Tableau151015[[#This Row],[Nombre
jours
total]]&lt;=H$11),Tableau151015[[#This Row],[Nombre
jours
total]]-H$10+1,IF(Tableau151015[[#This Row],[Nombre
jours
total]]&lt;H$10,0,IF(Tableau151015[[#This Row],[Nombre
jours
total]]&gt;H$11,H$11-H$10+1)))</calculatedColumnFormula>
    </tableColumn>
    <tableColumn id="6" xr3:uid="{DFB18DA7-2CD5-4180-AB7E-D93B20B11D8B}" name="Tranche 3_x000a_Import_x000a_coût" dataDxfId="239" dataCellStyle="Normal 2">
      <calculatedColumnFormula>IFERROR(VLOOKUP(Tableau151015[[#This Row],[Type]],Tableau61116[],5,FALSE)*Tableau151015[[#This Row],[Tranche 3
import
nb jour]]*Tableau151015[[#This Row],[Nombre de 
marchandises]],0)</calculatedColumnFormula>
    </tableColumn>
    <tableColumn id="15" xr3:uid="{D32453BD-6A21-45A2-B374-95BE5B590948}" name="Tranche 4_x000a_import_x000a_nb jour" dataDxfId="238" dataCellStyle="Normal 2">
      <calculatedColumnFormula>IF(AND(Tableau151015[[#This Row],[Nombre
jours
total]]&gt;=I$10,Tableau151015[[#This Row],[Nombre
jours
total]]&lt;=I$11),Tableau151015[[#This Row],[Nombre
jours
total]]-I$10+1,IF(Tableau151015[[#This Row],[Nombre
jours
total]]&lt;I$10,0,IF(Tableau151015[[#This Row],[Nombre
jours
total]]&gt;I$11,I$11-I$10+1)))</calculatedColumnFormula>
    </tableColumn>
    <tableColumn id="7" xr3:uid="{D9AB6EC5-706F-4179-84B1-A86AE3343BB2}" name="Tranche 4_x000a_Import_x000a_coût" dataDxfId="237" dataCellStyle="Normal 2">
      <calculatedColumnFormula>IFERROR(VLOOKUP(Tableau151015[[#This Row],[Type]],Tableau61116[],6,FALSE)*Tableau151015[[#This Row],[Tranche 4
import
nb jour]]*Tableau151015[[#This Row],[Nombre de 
marchandises]],0)</calculatedColumnFormula>
    </tableColumn>
    <tableColumn id="16" xr3:uid="{6487E77C-3453-48EF-85AA-9E3E93EAA17F}" name="Tranche 5_x000a_import_x000a_nb jour" dataDxfId="236" dataCellStyle="Normal 2">
      <calculatedColumnFormula>IF(AND(Tableau151015[[#This Row],[Nombre
jours
total]]&gt;=J$10,Tableau151015[[#This Row],[Nombre
jours
total]]&lt;=J$11),Tableau151015[[#This Row],[Nombre
jours
total]]-J$10+1,IF(Tableau151015[[#This Row],[Nombre
jours
total]]&lt;J$10,0,IF(Tableau151015[[#This Row],[Nombre
jours
total]]&gt;J$11,J$11-J$10+1)))</calculatedColumnFormula>
    </tableColumn>
    <tableColumn id="8" xr3:uid="{8CA254B6-F31B-4925-B365-6DDD5644773D}" name="Tranche 5_x000a_Import_x000a_coût" dataDxfId="235" dataCellStyle="Normal 2">
      <calculatedColumnFormula>IFERROR(VLOOKUP(Tableau151015[[#This Row],[Type]],Tableau61116[],7,FALSE)*Tableau151015[[#This Row],[Tranche 5
import
nb jour]]*Tableau151015[[#This Row],[Nombre de 
marchandises]],0)</calculatedColumnFormula>
    </tableColumn>
    <tableColumn id="17" xr3:uid="{F55350B3-165B-412C-B134-662CFD6A3177}" name="Tranche 6_x000a_import_x000a_nb jour" dataDxfId="234" dataCellStyle="Normal 2">
      <calculatedColumnFormula>IF(AND(Tableau151015[[#This Row],[Nombre
jours
total]]&gt;=K$10,Tableau151015[[#This Row],[Nombre
jours
total]]&lt;=K$11),Tableau151015[[#This Row],[Nombre
jours
total]]-K$10+1,IF(Tableau151015[[#This Row],[Nombre
jours
total]]&lt;K$10,0,IF(Tableau151015[[#This Row],[Nombre
jours
total]]&gt;K$11,K$11-K$10+1)))</calculatedColumnFormula>
    </tableColumn>
    <tableColumn id="20" xr3:uid="{39C8DC7C-E20A-4B4E-B3EC-AC1A3E907D89}" name="Tranche 6_x000a_Import_x000a_coût" dataDxfId="233" dataCellStyle="Normal 2">
      <calculatedColumnFormula>IFERROR(VLOOKUP(Tableau151015[[#This Row],[Type]],Tableau61116[],8,FALSE)*Tableau151015[[#This Row],[Tranche 6
import
nb jour]]*Tableau151015[[#This Row],[Nombre de 
marchandises]],0)</calculatedColumnFormula>
    </tableColumn>
    <tableColumn id="18" xr3:uid="{E17ADAED-EBF6-4F2F-B1B6-465FD50E4546}" name="Tranche 7_x000a_import_x000a_nb jour" dataDxfId="232" dataCellStyle="Normal 2">
      <calculatedColumnFormula>IF(AND(Tableau151015[[#This Row],[Nombre
jours
total]]&gt;=L$10,Tableau151015[[#This Row],[Nombre
jours
total]]&lt;=L$11),Tableau151015[[#This Row],[Nombre
jours
total]]-L$10+1,IF(Tableau151015[[#This Row],[Nombre
jours
total]]&lt;L$10,0,IF(Tableau151015[[#This Row],[Nombre
jours
total]]&gt;L$11,L$11-L$10+1)))</calculatedColumnFormula>
    </tableColumn>
    <tableColumn id="24" xr3:uid="{55DC8D73-2990-4534-BAAC-9278B83305AC}" name="Tranche 7_x000a_Import_x000a_coût" dataDxfId="231" dataCellStyle="Normal 2">
      <calculatedColumnFormula>IFERROR(VLOOKUP(Tableau151015[[#This Row],[Type]],Tableau61116[],9,FALSE)*Tableau151015[[#This Row],[Tranche 6
import
nb jour]]*Tableau151015[[#This Row],[Nombre de 
marchandises]],0)</calculatedColumnFormula>
    </tableColumn>
    <tableColumn id="26" xr3:uid="{B8C34742-A3FD-4C20-8998-DC8523F9313D}" name="Total_x000a_Stationnement" dataDxfId="230" dataCellStyle="Normal 2">
      <calculatedColumnFormula>+Tableau151015[[#This Row],[Tranche 7
Import
coût]]+Tableau151015[[#This Row],[Tranche 6
Import
coût]]+Tableau151015[[#This Row],[Tranche 5
Import
coût]]+Tableau151015[[#This Row],[Tranche 4
Import
coût]]+Tableau151015[[#This Row],[Tranche 3
Import
coût]]+Tableau151015[[#This Row],[Tranche 2
Import
coût]]+Tableau151015[[#This Row],[Tranche 1
Import
coût]]</calculatedColumnFormula>
    </tableColumn>
  </tableColumns>
  <tableStyleInfo name="TableStyleMedium16"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7B962D05-673D-4F56-A54C-A030F9725D87}" name="Tableau61116" displayName="Tableau61116" ref="D6:L12" totalsRowShown="0" headerRowDxfId="229" dataDxfId="228" dataCellStyle="Normal 2">
  <autoFilter ref="D6:L12" xr:uid="{A6973159-7BFD-4030-9BB4-4D83ADE3DCBF}"/>
  <tableColumns count="9">
    <tableColumn id="14" xr3:uid="{17237217-6804-4C5B-AFC6-D1E03132C1A1}" name="Type" dataDxfId="227" dataCellStyle="Normal 2"/>
    <tableColumn id="13" xr3:uid="{2D5AF11B-F90C-447A-8FFF-F036C289723C}" name="Type2" dataDxfId="226" dataCellStyle="Normal 2"/>
    <tableColumn id="3" xr3:uid="{1AFB824B-BA6C-45D5-9B7A-57CA0693F35F}" name="tranche 1" dataDxfId="225" dataCellStyle="Normal 2"/>
    <tableColumn id="4" xr3:uid="{5D55F037-AD11-42AB-BF74-34BCE08A8A7D}" name="tranche 2" dataDxfId="224" dataCellStyle="Normal 2"/>
    <tableColumn id="5" xr3:uid="{DB7A15EE-31AC-4CAB-9F1C-9A97E21EF59F}" name="tranche 3" dataDxfId="223" dataCellStyle="Normal 2"/>
    <tableColumn id="6" xr3:uid="{76549F1A-BC47-407A-98DD-5603DC0FB9F5}" name="tranche 4" dataDxfId="222" dataCellStyle="Normal 2"/>
    <tableColumn id="7" xr3:uid="{5BCE7FF7-E899-4910-99A7-B9578DD0C350}" name="tranche 5" dataDxfId="221" dataCellStyle="Normal 2"/>
    <tableColumn id="8" xr3:uid="{D69DCF62-693B-48CE-8F8E-F91E4539FEE8}" name="tranche 6" dataDxfId="220" dataCellStyle="Normal 2"/>
    <tableColumn id="9" xr3:uid="{595CD95F-309D-48A9-97C4-3D67E3E0A17F}" name="tranche 7" dataDxfId="219" dataCellStyle="Normal 2"/>
  </tableColumns>
  <tableStyleInfo name="TableStyleMedium16"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5ECC8FDD-76AD-48AF-80BB-7FF58A23B286}" name="Tableau15817" displayName="Tableau15817" ref="A21:Y22" totalsRowShown="0" headerRowDxfId="218" dataDxfId="217" headerRowCellStyle="Normal 2" dataCellStyle="Normal 2">
  <autoFilter ref="A21:Y22" xr:uid="{3C190F7E-BA00-4AB8-A2C7-82B5CC61FD85}"/>
  <tableColumns count="25">
    <tableColumn id="1" xr3:uid="{ECDA45D0-0E2B-4528-AE05-18444AFC21F4}" name="Nombre de _x000a_conteneur" dataDxfId="216"/>
    <tableColumn id="9" xr3:uid="{92C97419-2CA4-42DF-AB00-D54DE01E9A57}" name="Taille" dataDxfId="215"/>
    <tableColumn id="10" xr3:uid="{94B8E73D-B61B-43A0-BC50-F2773316E8EE}" name="Type_x000a_OH/DGX" dataDxfId="214"/>
    <tableColumn id="2" xr3:uid="{EA5BC5A0-3B67-4C79-91DB-B5A7EC07AE33}" name="Date début_x000a_'Réception'" dataDxfId="213"/>
    <tableColumn id="3" xr3:uid="{469432E2-2487-4537-8D95-FFABEF58973B}" name="Date fin_x000a_'Embarquement'" dataDxfId="212"/>
    <tableColumn id="23" xr3:uid="{831A70AB-A303-4B11-A133-71DAF6CCBED4}" name="20/40OH" dataDxfId="211">
      <calculatedColumnFormula>IF(OR(Tableau15817[[#This Row],[Type
OH/DGX]]="DGX",Tableau15817[[#This Row],[Type
OH/DGX]]="OH"),CONCATENATE(Tableau15817[[#This Row],[Taille]]," ohdgx"),Tableau15817[[#This Row],[Taille]])</calculatedColumnFormula>
    </tableColumn>
    <tableColumn id="11" xr3:uid="{B827C8E4-8CBF-44F4-AA26-1C93035F920B}" name="Nombre_x000a_jours_x000a_total" dataDxfId="210">
      <calculatedColumnFormula>+IF(Tableau15817[[#This Row],[Nombre de 
conteneur]]="",0,Tableau15817[[#This Row],[Date fin
''Embarquement'']]-Tableau15817[[#This Row],[Date début
''Réception'']]+1)</calculatedColumnFormula>
    </tableColumn>
    <tableColumn id="12" xr3:uid="{F2ACBE4F-B911-4C6A-BA00-FCFAF1CF4C8F}" name="Tranche 1_x000a_export_x000a_nb jour" dataDxfId="209" dataCellStyle="Normal 2">
      <calculatedColumnFormula>IF(Tableau15817[[#This Row],[Nombre
jours
total]]&lt;=G$14,Tableau15817[[#This Row],[Nombre
jours
total]],G$14)</calculatedColumnFormula>
    </tableColumn>
    <tableColumn id="4" xr3:uid="{78F65332-C7A4-4F7C-BDD1-517183E8E755}" name="Tranche 1_x000a_export_x000a_coût" dataDxfId="208" dataCellStyle="Normal 2">
      <calculatedColumnFormula>IFERROR(VLOOKUP(Tableau15817[[#This Row],[20/40OH]],Tableau6918[[20/40OH]:[tranche 8]],2,FALSE)*Tableau15817[[#This Row],[Tranche 1
export
nb jour]]*Tableau15817[[#This Row],[Nombre de 
conteneur]],0)</calculatedColumnFormula>
    </tableColumn>
    <tableColumn id="13" xr3:uid="{8C5D9BED-110A-490D-8154-6A2F5A5F2E3A}" name="Tranche 2_x000a_export_x000a_nb jour" dataDxfId="207" dataCellStyle="Normal 2">
      <calculatedColumnFormula>IF(AND(Tableau15817[[#This Row],[Nombre
jours
total]]&gt;=H$13,Tableau15817[[#This Row],[Nombre
jours
total]]&lt;=H$14),Tableau15817[[#This Row],[Nombre
jours
total]]-H$13+1,IF(Tableau15817[[#This Row],[Nombre
jours
total]]&lt;H$13,0,IF(Tableau15817[[#This Row],[Nombre
jours
total]]&gt;H$14,H$14-H$13+1)))</calculatedColumnFormula>
    </tableColumn>
    <tableColumn id="5" xr3:uid="{DACD5E20-ADBE-402A-9D57-9D85A3992016}" name="Tranche 2_x000a_export_x000a_coût" dataDxfId="206" dataCellStyle="Normal 2">
      <calculatedColumnFormula>IFERROR(VLOOKUP(Tableau15817[[#This Row],[20/40OH]],Tableau6918[[20/40OH]:[tranche 8]],3,FALSE)*Tableau15817[[#This Row],[Tranche 2
export
nb jour]]*Tableau15817[[#This Row],[Nombre de 
conteneur]],0)</calculatedColumnFormula>
    </tableColumn>
    <tableColumn id="14" xr3:uid="{9E6064ED-3B50-464B-86E1-1EDDB304E9B5}" name="Tranche 3_x000a_export_x000a_nb jour" dataDxfId="205" dataCellStyle="Normal 2">
      <calculatedColumnFormula>IF(AND(Tableau15817[[#This Row],[Nombre
jours
total]]&gt;=I$13,Tableau15817[[#This Row],[Nombre
jours
total]]&lt;=I$14),Tableau15817[[#This Row],[Nombre
jours
total]]-I$13+1,IF(Tableau15817[[#This Row],[Nombre
jours
total]]&lt;I$13,0,IF(Tableau15817[[#This Row],[Nombre
jours
total]]&gt;I$14,I$14-I$13+1)))</calculatedColumnFormula>
    </tableColumn>
    <tableColumn id="6" xr3:uid="{248F9A72-1E41-441D-9247-7B1B6A087969}" name="Tranche 3_x000a_export_x000a_coût" dataDxfId="204" dataCellStyle="Normal 2">
      <calculatedColumnFormula>IFERROR(VLOOKUP(Tableau15817[[#This Row],[20/40OH]],Tableau6918[[20/40OH]:[tranche 8]],4,FALSE)*Tableau15817[[#This Row],[Tranche 3
export
nb jour]]*Tableau15817[[#This Row],[Nombre de 
conteneur]],0)</calculatedColumnFormula>
    </tableColumn>
    <tableColumn id="15" xr3:uid="{86B90EC8-1335-4DFA-81E3-32B6119EE59D}" name="Tranche 4_x000a_export_x000a_nb jour" dataDxfId="203" dataCellStyle="Normal 2">
      <calculatedColumnFormula>IF(AND(Tableau15817[[#This Row],[Nombre
jours
total]]&gt;=J$13,Tableau15817[[#This Row],[Nombre
jours
total]]&lt;=J$14),Tableau15817[[#This Row],[Nombre
jours
total]]-J$13+1,IF(Tableau15817[[#This Row],[Nombre
jours
total]]&lt;J$13,0,IF(Tableau15817[[#This Row],[Nombre
jours
total]]&gt;J$14,J$14-J$13+1)))</calculatedColumnFormula>
    </tableColumn>
    <tableColumn id="7" xr3:uid="{D926E4AE-9C1F-45F1-9A2A-DA2CB3F39ED8}" name="Tranche 4_x000a_export_x000a_coût" dataDxfId="202" dataCellStyle="Normal 2">
      <calculatedColumnFormula>IFERROR(VLOOKUP(Tableau15817[[#This Row],[20/40OH]],Tableau6918[[20/40OH]:[tranche 8]],5,FALSE)*Tableau15817[[#This Row],[Tranche 4
export
nb jour]]*Tableau15817[[#This Row],[Nombre de 
conteneur]],0)</calculatedColumnFormula>
    </tableColumn>
    <tableColumn id="16" xr3:uid="{A663249D-2520-435A-80B3-A3D7FB7A986F}" name="Tranche 5_x000a_export_x000a_nb jour" dataDxfId="201" dataCellStyle="Normal 2">
      <calculatedColumnFormula>IF(AND(Tableau15817[[#This Row],[Nombre
jours
total]]&gt;=K$13,Tableau15817[[#This Row],[Nombre
jours
total]]&lt;=K$14),Tableau15817[[#This Row],[Nombre
jours
total]]-K$13+1,IF(Tableau15817[[#This Row],[Nombre
jours
total]]&lt;K$13,0,IF(Tableau15817[[#This Row],[Nombre
jours
total]]&gt;K$14,K$14-K$13+1)))</calculatedColumnFormula>
    </tableColumn>
    <tableColumn id="8" xr3:uid="{C4C00CB1-91ED-4A88-9497-0567DDD99062}" name="Tranche 5_x000a_export_x000a_coût" dataDxfId="200" dataCellStyle="Normal 2">
      <calculatedColumnFormula>IFERROR(VLOOKUP(Tableau15817[[#This Row],[20/40OH]],Tableau6918[[20/40OH]:[tranche 8]],6,FALSE)*Tableau15817[[#This Row],[Tranche 5
export
nb jour]]*Tableau15817[[#This Row],[Nombre de 
conteneur]],0)</calculatedColumnFormula>
    </tableColumn>
    <tableColumn id="17" xr3:uid="{1C95974C-D7F8-49D7-BDD4-DEEDD96DACAC}" name="Tranche 6_x000a_export_x000a_nb jour" dataDxfId="199" dataCellStyle="Normal 2">
      <calculatedColumnFormula>IF(AND(Tableau15817[[#This Row],[Nombre
jours
total]]&gt;=L$13,Tableau15817[[#This Row],[Nombre
jours
total]]&lt;=L$14),Tableau15817[[#This Row],[Nombre
jours
total]]-L$13+1,IF(Tableau15817[[#This Row],[Nombre
jours
total]]&lt;L$13,0,IF(Tableau15817[[#This Row],[Nombre
jours
total]]&gt;L$14,L$14-L$13+1)))</calculatedColumnFormula>
    </tableColumn>
    <tableColumn id="20" xr3:uid="{E647BE5D-AA42-4718-9B86-19EA5AB3DD13}" name="Tranche 6_x000a_export_x000a_coût" dataDxfId="198" dataCellStyle="Normal 2">
      <calculatedColumnFormula>IFERROR(VLOOKUP(Tableau15817[[#This Row],[20/40OH]],Tableau6918[[20/40OH]:[tranche 8]],7,FALSE)*Tableau15817[[#This Row],[Tranche 6
export
nb jour]]*Tableau15817[[#This Row],[Nombre de 
conteneur]],0)</calculatedColumnFormula>
    </tableColumn>
    <tableColumn id="18" xr3:uid="{5767B49B-E877-445D-A57F-8A7F7B227D0A}" name="Tranche 7_x000a_export_x000a_nb jour" dataDxfId="197" dataCellStyle="Normal 2">
      <calculatedColumnFormula>IF(AND(Tableau15817[[#This Row],[Nombre
jours
total]]&gt;=M$13,Tableau15817[[#This Row],[Nombre
jours
total]]&lt;=M$14),Tableau15817[[#This Row],[Nombre
jours
total]]-M$13+1,IF(Tableau15817[[#This Row],[Nombre
jours
total]]&lt;M$13,0,IF(Tableau15817[[#This Row],[Nombre
jours
total]]&gt;M$14,M$14-M$13+1)))</calculatedColumnFormula>
    </tableColumn>
    <tableColumn id="24" xr3:uid="{D95F2069-4B37-45B5-9400-C9CEAFFDCBF0}" name="Tranche 7_x000a_export_x000a_coût" dataDxfId="196" dataCellStyle="Normal 2">
      <calculatedColumnFormula>IFERROR(VLOOKUP(Tableau15817[[#This Row],[20/40OH]],Tableau6918[[20/40OH]:[tranche 8]],8,FALSE)*Tableau15817[[#This Row],[Tranche 7
export
nb jour]]*Tableau15817[[#This Row],[Nombre de 
conteneur]],0)</calculatedColumnFormula>
    </tableColumn>
    <tableColumn id="19" xr3:uid="{A0DD66A8-A5C5-4430-9E58-494AE80276B2}" name="Tranche 8_x000a_export_x000a_nb jour" dataDxfId="195" dataCellStyle="Normal 2">
      <calculatedColumnFormula>IF(AND(Tableau15817[[#This Row],[Nombre
jours
total]]&gt;=N$13,Tableau15817[[#This Row],[Nombre
jours
total]]&lt;=N$14),Tableau15817[[#This Row],[Nombre
jours
total]]-N$13+1,IF(Tableau15817[[#This Row],[Nombre
jours
total]]&lt;N$13,0,IF(Tableau15817[[#This Row],[Nombre
jours
total]]&gt;N$14,N$14-N$13+1)))</calculatedColumnFormula>
    </tableColumn>
    <tableColumn id="25" xr3:uid="{DAE17384-496A-4846-B0D6-221E714BF99A}" name="Tranche 8_x000a_export_x000a_coût" dataDxfId="194" dataCellStyle="Normal 2">
      <calculatedColumnFormula>IFERROR(VLOOKUP(Tableau15817[[#This Row],[20/40OH]],Tableau6918[[20/40OH]:[tranche 8]],9,FALSE)*Tableau15817[[#This Row],[Tranche 8
export
nb jour]]*Tableau15817[[#This Row],[Nombre de 
conteneur]],0)</calculatedColumnFormula>
    </tableColumn>
    <tableColumn id="26" xr3:uid="{00BB678F-F1A7-4063-B5E9-73C4643C6901}" name="Total_x000a_Stationnement" dataDxfId="193" dataCellStyle="Normal 2">
      <calculatedColumnFormula>+Tableau15817[[#This Row],[Tranche 8
export
coût]]+Tableau15817[[#This Row],[Tranche 7
export
coût]]+Tableau15817[[#This Row],[Tranche 6
export
coût]]+Tableau15817[[#This Row],[Tranche 5
export
coût]]+Tableau15817[[#This Row],[Tranche 4
export
coût]]+Tableau15817[[#This Row],[Tranche 3
export
coût]]+Tableau15817[[#This Row],[Tranche 2
export
coût]]</calculatedColumnFormula>
    </tableColumn>
    <tableColumn id="21" xr3:uid="{944F6F3E-B945-4C13-B3F6-B29D7FBBD52D}" name="Contrôle_x000a_jours" dataDxfId="192">
      <calculatedColumnFormula>+Tableau15817[[#This Row],[Tranche 8
export
nb jour]]+Tableau15817[[#This Row],[Tranche 7
export
nb jour]]+Tableau15817[[#This Row],[Tranche 6
export
nb jour]]+Tableau15817[[#This Row],[Tranche 5
export
nb jour]]+Tableau15817[[#This Row],[Tranche 4
export
nb jour]]+Tableau15817[[#This Row],[Tranche 3
export
nb jour]]+Tableau15817[[#This Row],[Tranche 2
export
nb jour]]+Tableau15817[[#This Row],[Tranche 1
export
nb jour]]-Tableau15817[[#This Row],[Nombre
jours
total]]</calculatedColumnFormula>
    </tableColumn>
  </tableColumns>
  <tableStyleInfo name="TableStyleMedium16"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138289FD-7738-4238-8E7D-3CC9C1916F46}" name="Tableau6918" displayName="Tableau6918" ref="D6:N15" totalsRowShown="0" headerRowDxfId="191" dataDxfId="190" dataCellStyle="Normal 2">
  <autoFilter ref="D6:N15" xr:uid="{A6973159-7BFD-4030-9BB4-4D83ADE3DCBF}"/>
  <tableColumns count="11">
    <tableColumn id="14" xr3:uid="{6EB1385E-62C9-4B59-879F-045BC3F37CFB}" name="Taille" dataDxfId="189" dataCellStyle="Normal 2"/>
    <tableColumn id="13" xr3:uid="{CE9841F7-F1E0-4774-9AF1-F5E2B792FA1A}" name="Type" dataDxfId="188" dataCellStyle="Normal 2"/>
    <tableColumn id="1" xr3:uid="{830BB09A-39C1-4A1E-9E2C-84CFD703107C}" name="20/40OH" dataDxfId="187"/>
    <tableColumn id="3" xr3:uid="{32921636-1820-4DED-866D-60918C067281}" name="tranche 1" dataDxfId="186" dataCellStyle="Normal 2"/>
    <tableColumn id="4" xr3:uid="{7442C1F1-840A-425C-8353-12CE035D921B}" name="tranche 2" dataDxfId="185" dataCellStyle="Normal 2"/>
    <tableColumn id="5" xr3:uid="{0D70E200-2B64-47D2-88D4-BD6C6B8E9F6A}" name="tranche 3" dataDxfId="184" dataCellStyle="Normal 2"/>
    <tableColumn id="6" xr3:uid="{E5650A51-CC06-472A-BDE6-543E328A84F0}" name="tranche 4" dataDxfId="183" dataCellStyle="Normal 2"/>
    <tableColumn id="7" xr3:uid="{AB25510C-5AD0-46F6-AC72-344440AB6C5B}" name="tranche 5" dataDxfId="182" dataCellStyle="Normal 2"/>
    <tableColumn id="8" xr3:uid="{92D512F6-B75C-4BEA-B585-DC83009900F6}" name="tranche 6" dataDxfId="181" dataCellStyle="Normal 2"/>
    <tableColumn id="9" xr3:uid="{62B6E0AE-FBBB-46F2-8C63-29313A2BEE80}" name="tranche 7" dataDxfId="180" dataCellStyle="Normal 2"/>
    <tableColumn id="10" xr3:uid="{1BEE1B3D-743B-43D4-83C9-F7DEE34E7197}" name="tranche 8" dataDxfId="179" dataCellStyle="Normal 2"/>
  </tableColumns>
  <tableStyleInfo name="TableStyleMedium16"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F272CB78-EAB6-49FA-9198-5C37C612D9E8}" name="Tableau1510619" displayName="Tableau1510619" ref="A18:T19" totalsRowShown="0" headerRowDxfId="178" dataDxfId="177" headerRowCellStyle="Normal 2" dataCellStyle="Normal 2">
  <autoFilter ref="A18:T19" xr:uid="{3C190F7E-BA00-4AB8-A2C7-82B5CC61FD85}"/>
  <tableColumns count="20">
    <tableColumn id="1" xr3:uid="{79B9B459-86E0-483A-9C58-25401653EED3}" name="Nombre de _x000a_marchandises" dataDxfId="176"/>
    <tableColumn id="9" xr3:uid="{154BABA0-348F-442A-A86A-0E83E2F734F3}" name="Type" dataDxfId="175"/>
    <tableColumn id="2" xr3:uid="{2D529E02-2E7E-407E-A256-2A1C4EA68894}" name="Date début_x000a_'Réception'" dataDxfId="174"/>
    <tableColumn id="3" xr3:uid="{3E768D57-D89E-4BF6-BF17-77BF5B6A6B7F}" name="Date fin_x000a_'Embarquement'" dataDxfId="173"/>
    <tableColumn id="11" xr3:uid="{960D73DF-7081-4830-B01D-84050BC05326}" name="Nombre_x000a_jours_x000a_total" dataDxfId="172">
      <calculatedColumnFormula>+IF(Tableau1510619[[#This Row],[Nombre de 
marchandises]]="",0,Tableau1510619[[#This Row],[Date fin
''Embarquement'']]-Tableau1510619[[#This Row],[Date début
''Réception'']]+1)</calculatedColumnFormula>
    </tableColumn>
    <tableColumn id="12" xr3:uid="{6F9ABB63-A596-44AF-9851-4D33B0B64D3C}" name="Tranche 1_x000a_import_x000a_nb jour" dataDxfId="171" dataCellStyle="Normal 2">
      <calculatedColumnFormula>IF(Tableau1510619[[#This Row],[Nombre
jours
total]]&lt;=F$11,Tableau1510619[[#This Row],[Nombre
jours
total]],F$11)</calculatedColumnFormula>
    </tableColumn>
    <tableColumn id="4" xr3:uid="{C4ED2F6D-6988-46A3-AEAE-472A6E8ADEE0}" name="Tranche 1_x000a_Import_x000a_coût" dataDxfId="170" dataCellStyle="Normal 2">
      <calculatedColumnFormula>IFERROR(VLOOKUP(Tableau1510619[[#This Row],[Type]],Tableau6111220[],3,FALSE)*Tableau1510619[[#This Row],[Tranche 1
import
nb jour]]*Tableau1510619[[#This Row],[Nombre de 
marchandises]],0)</calculatedColumnFormula>
    </tableColumn>
    <tableColumn id="13" xr3:uid="{16551E35-DDC5-4BC0-A657-C0FFFCEA6684}" name="Tranche 2_x000a_import_x000a_nb jour" dataDxfId="169" dataCellStyle="Normal 2">
      <calculatedColumnFormula>IF(AND(Tableau1510619[[#This Row],[Nombre
jours
total]]&gt;=G$10,Tableau1510619[[#This Row],[Nombre
jours
total]]&lt;=G$11),Tableau1510619[[#This Row],[Nombre
jours
total]]-G$10+1,IF(Tableau1510619[[#This Row],[Nombre
jours
total]]&lt;G$10,0,IF(Tableau1510619[[#This Row],[Nombre
jours
total]]&gt;G$11,G$11-G$10+1)))</calculatedColumnFormula>
    </tableColumn>
    <tableColumn id="5" xr3:uid="{39BE2E1D-55E8-48CB-A92D-EA9BF3FC7D7C}" name="Tranche 2_x000a_Import_x000a_coût" dataDxfId="168" dataCellStyle="Normal 2">
      <calculatedColumnFormula>IFERROR(VLOOKUP(Tableau1510619[[#This Row],[Type]],Tableau6111220[],4,FALSE)*Tableau1510619[[#This Row],[Tranche 2
import
nb jour]]*Tableau1510619[[#This Row],[Nombre de 
marchandises]],0)</calculatedColumnFormula>
    </tableColumn>
    <tableColumn id="14" xr3:uid="{20E7E9DE-7F7F-4AE3-AEAB-6B14A5C7020D}" name="Tranche 3_x000a_import_x000a_nb jour" dataDxfId="167" dataCellStyle="Normal 2">
      <calculatedColumnFormula>IF(AND(Tableau1510619[[#This Row],[Nombre
jours
total]]&gt;=H$10,Tableau1510619[[#This Row],[Nombre
jours
total]]&lt;=H$11),Tableau1510619[[#This Row],[Nombre
jours
total]]-H$10+1,IF(Tableau1510619[[#This Row],[Nombre
jours
total]]&lt;H$10,0,IF(Tableau1510619[[#This Row],[Nombre
jours
total]]&gt;H$11,H$11-H$10+1)))</calculatedColumnFormula>
    </tableColumn>
    <tableColumn id="6" xr3:uid="{50BE4DE8-7F7B-4471-8A40-3DE29912321D}" name="Tranche 3_x000a_Import_x000a_coût" dataDxfId="166" dataCellStyle="Normal 2">
      <calculatedColumnFormula>IFERROR(VLOOKUP(Tableau1510619[[#This Row],[Type]],Tableau6111220[],5,FALSE)*Tableau1510619[[#This Row],[Tranche 3
import
nb jour]]*Tableau1510619[[#This Row],[Nombre de 
marchandises]],0)</calculatedColumnFormula>
    </tableColumn>
    <tableColumn id="15" xr3:uid="{3006DB81-02F3-4CB8-BD11-86E526AA652B}" name="Tranche 4_x000a_import_x000a_nb jour" dataDxfId="165" dataCellStyle="Normal 2">
      <calculatedColumnFormula>IF(AND(Tableau1510619[[#This Row],[Nombre
jours
total]]&gt;=I$10,Tableau1510619[[#This Row],[Nombre
jours
total]]&lt;=I$11),Tableau1510619[[#This Row],[Nombre
jours
total]]-I$10+1,IF(Tableau1510619[[#This Row],[Nombre
jours
total]]&lt;I$10,0,IF(Tableau1510619[[#This Row],[Nombre
jours
total]]&gt;I$11,I$11-I$10+1)))</calculatedColumnFormula>
    </tableColumn>
    <tableColumn id="7" xr3:uid="{9DEDAAD8-8CC3-4C16-BCAD-489030B634FB}" name="Tranche 4_x000a_Import_x000a_coût" dataDxfId="164" dataCellStyle="Normal 2">
      <calculatedColumnFormula>IFERROR(VLOOKUP(Tableau1510619[[#This Row],[Type]],Tableau6111220[],6,FALSE)*Tableau1510619[[#This Row],[Tranche 4
import
nb jour]]*Tableau1510619[[#This Row],[Nombre de 
marchandises]],0)</calculatedColumnFormula>
    </tableColumn>
    <tableColumn id="16" xr3:uid="{ED70F569-A9B5-40C6-ABA7-0A28C3E62CA7}" name="Tranche 5_x000a_import_x000a_nb jour" dataDxfId="163" dataCellStyle="Normal 2">
      <calculatedColumnFormula>IF(AND(Tableau1510619[[#This Row],[Nombre
jours
total]]&gt;=J$10,Tableau1510619[[#This Row],[Nombre
jours
total]]&lt;=J$11),Tableau1510619[[#This Row],[Nombre
jours
total]]-J$10+1,IF(Tableau1510619[[#This Row],[Nombre
jours
total]]&lt;J$10,0,IF(Tableau1510619[[#This Row],[Nombre
jours
total]]&gt;J$11,J$11-J$10+1)))</calculatedColumnFormula>
    </tableColumn>
    <tableColumn id="8" xr3:uid="{78657792-5D0F-43ED-B3CF-3B1E7C3B3025}" name="Tranche 5_x000a_Import_x000a_coût" dataDxfId="162" dataCellStyle="Normal 2">
      <calculatedColumnFormula>IFERROR(VLOOKUP(Tableau1510619[[#This Row],[Type]],Tableau6111220[],7,FALSE)*Tableau1510619[[#This Row],[Tranche 5
import
nb jour]]*Tableau1510619[[#This Row],[Nombre de 
marchandises]],0)</calculatedColumnFormula>
    </tableColumn>
    <tableColumn id="17" xr3:uid="{4B056204-AF0D-47D3-9B65-897F0F942C3C}" name="Tranche 6_x000a_import_x000a_nb jour" dataDxfId="161" dataCellStyle="Normal 2">
      <calculatedColumnFormula>IF(AND(Tableau1510619[[#This Row],[Nombre
jours
total]]&gt;=K$10,Tableau1510619[[#This Row],[Nombre
jours
total]]&lt;=K$11),Tableau1510619[[#This Row],[Nombre
jours
total]]-K$10+1,IF(Tableau1510619[[#This Row],[Nombre
jours
total]]&lt;K$10,0,IF(Tableau1510619[[#This Row],[Nombre
jours
total]]&gt;K$11,K$11-K$10+1)))</calculatedColumnFormula>
    </tableColumn>
    <tableColumn id="20" xr3:uid="{E214CEAA-9E9D-491A-933E-51193E72EEE9}" name="Tranche 6_x000a_Import_x000a_coût" dataDxfId="160" dataCellStyle="Normal 2">
      <calculatedColumnFormula>IFERROR(VLOOKUP(Tableau1510619[[#This Row],[Type]],Tableau6111220[],8,FALSE)*Tableau1510619[[#This Row],[Tranche 6
import
nb jour]]*Tableau1510619[[#This Row],[Nombre de 
marchandises]],0)</calculatedColumnFormula>
    </tableColumn>
    <tableColumn id="18" xr3:uid="{93AC9712-62A2-4E75-AAC1-EDD24381CEF4}" name="Tranche 7_x000a_import_x000a_nb jour" dataDxfId="159" dataCellStyle="Normal 2">
      <calculatedColumnFormula>IF(AND(Tableau1510619[[#This Row],[Nombre
jours
total]]&gt;=L$10,Tableau1510619[[#This Row],[Nombre
jours
total]]&lt;=L$11),Tableau1510619[[#This Row],[Nombre
jours
total]]-L$10+1,IF(Tableau1510619[[#This Row],[Nombre
jours
total]]&lt;L$10,0,IF(Tableau1510619[[#This Row],[Nombre
jours
total]]&gt;L$11,L$11-L$10+1)))</calculatedColumnFormula>
    </tableColumn>
    <tableColumn id="24" xr3:uid="{CFB64E22-0738-4208-B4BA-DE85396B73FE}" name="Tranche 7_x000a_Import_x000a_coût" dataDxfId="158" dataCellStyle="Normal 2">
      <calculatedColumnFormula>IFERROR(VLOOKUP(Tableau1510619[[#This Row],[Type]],Tableau6111220[],9,FALSE)*Tableau1510619[[#This Row],[Tranche 6
import
nb jour]]*Tableau1510619[[#This Row],[Nombre de 
marchandises]],0)</calculatedColumnFormula>
    </tableColumn>
    <tableColumn id="26" xr3:uid="{5821F054-4443-4B4E-90EA-13844089EF6C}" name="Total_x000a_Stationnement" dataDxfId="157" dataCellStyle="Normal 2">
      <calculatedColumnFormula>+Tableau1510619[[#This Row],[Tranche 7
Import
coût]]+Tableau1510619[[#This Row],[Tranche 6
Import
coût]]+Tableau1510619[[#This Row],[Tranche 5
Import
coût]]+Tableau1510619[[#This Row],[Tranche 4
Import
coût]]+Tableau1510619[[#This Row],[Tranche 3
Import
coût]]+Tableau1510619[[#This Row],[Tranche 2
Import
coût]]+Tableau1510619[[#This Row],[Tranche 1
Import
coût]]</calculatedColumnFormula>
    </tableColumn>
  </tableColumns>
  <tableStyleInfo name="TableStyleMedium16"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D9CA62AB-153B-48DC-8C9F-46D3F4A0B162}" name="Tableau6111220" displayName="Tableau6111220" ref="D6:L12" totalsRowShown="0" headerRowDxfId="156" dataDxfId="155" dataCellStyle="Normal 2">
  <autoFilter ref="D6:L12" xr:uid="{A6973159-7BFD-4030-9BB4-4D83ADE3DCBF}"/>
  <tableColumns count="9">
    <tableColumn id="14" xr3:uid="{4B11A9EF-00F0-40D2-ACD9-BBFD74A2EE67}" name="Type" dataDxfId="154" dataCellStyle="Normal 2"/>
    <tableColumn id="13" xr3:uid="{1979274C-CDAA-4695-A164-1D719556C063}" name="Type2" dataDxfId="153" dataCellStyle="Normal 2"/>
    <tableColumn id="3" xr3:uid="{F553A45B-3D90-4A1B-A843-3710FCD11791}" name="tranche 1" dataDxfId="152" dataCellStyle="Normal 2"/>
    <tableColumn id="4" xr3:uid="{B33957AF-FCBD-4A78-B261-BA6F7582F957}" name="tranche 2" dataDxfId="151" dataCellStyle="Normal 2"/>
    <tableColumn id="5" xr3:uid="{A5E29DFB-FE6B-44A1-BD25-8C938A3ABDDD}" name="tranche 3" dataDxfId="150" dataCellStyle="Normal 2"/>
    <tableColumn id="6" xr3:uid="{7FEF07D9-997C-4403-8D87-37FE5B10B9D2}" name="tranche 4" dataDxfId="149" dataCellStyle="Normal 2"/>
    <tableColumn id="7" xr3:uid="{47F0B1A9-552E-4B6B-A132-D5695FBE932B}" name="tranche 5" dataDxfId="148" dataCellStyle="Normal 2"/>
    <tableColumn id="8" xr3:uid="{497CD5FB-B75D-40CA-8FA4-DDE7295F9FE5}" name="tranche 6" dataDxfId="147" dataCellStyle="Normal 2"/>
    <tableColumn id="9" xr3:uid="{E4BE668B-CF3C-480B-8767-30E8DBE12426}" name="tranche 7" dataDxfId="146" dataCellStyle="Normal 2"/>
  </tableColumns>
  <tableStyleInfo name="TableStyleMedium16"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F047D823-D933-4620-BAFA-95DE0B7DCDF4}" name="Tableau15" displayName="Tableau15" ref="A21:Y22" totalsRowShown="0" headerRowDxfId="145" dataDxfId="144" headerRowCellStyle="Normal 2" dataCellStyle="Normal 2">
  <autoFilter ref="A21:Y22" xr:uid="{3C190F7E-BA00-4AB8-A2C7-82B5CC61FD85}"/>
  <tableColumns count="25">
    <tableColumn id="1" xr3:uid="{DB59422E-90EC-4497-BB66-CA490FC76FA4}" name="Nombre de _x000a_conteneur" dataDxfId="143"/>
    <tableColumn id="9" xr3:uid="{A0EE6CD6-E651-4E10-AD8D-65B773374DB5}" name="Taille" dataDxfId="142"/>
    <tableColumn id="10" xr3:uid="{2682D38C-EBA8-4B65-BD43-EA8040E7E3C7}" name="Type_x000a_OH/DGX" dataDxfId="141"/>
    <tableColumn id="2" xr3:uid="{3D48E48E-711A-4874-A7CA-90357DE61A01}" name="Date début_x000a_'Débarquement'" dataDxfId="140"/>
    <tableColumn id="3" xr3:uid="{ABE3FFD6-C09C-4058-9D07-954B78E35CB7}" name="Date fin_x000a_'Livraison'" dataDxfId="139"/>
    <tableColumn id="23" xr3:uid="{B7A74BA1-25AA-4C42-9340-01DE9B5C3CA1}" name="20/40OH" dataDxfId="138">
      <calculatedColumnFormula>IF(OR(Tableau15[[#This Row],[Type
OH/DGX]]="DGX",Tableau15[[#This Row],[Type
OH/DGX]]="OH"),CONCATENATE(Tableau15[[#This Row],[Taille]]," ohdgx"),Tableau15[[#This Row],[Taille]])</calculatedColumnFormula>
    </tableColumn>
    <tableColumn id="11" xr3:uid="{2509F843-CDCB-408A-9AB3-0AE047E66A1B}" name="Nombre_x000a_jours_x000a_total" dataDxfId="137">
      <calculatedColumnFormula>IF(Tableau15[[#This Row],[Nombre de 
conteneur]]=0,0,Tableau15[[#This Row],[Date fin
''Livraison'']]-Tableau15[[#This Row],[Date début
''Débarquement'']]+1)</calculatedColumnFormula>
    </tableColumn>
    <tableColumn id="12" xr3:uid="{FFA37845-97D8-4284-A618-52422FCD1A0B}" name="Tranche 1_x000a_import_x000a_nb jour" dataDxfId="136" dataCellStyle="Normal 2">
      <calculatedColumnFormula>IF(Tableau15[[#This Row],[Nombre
jours
total]]&lt;=G$14,Tableau15[[#This Row],[Nombre
jours
total]],G$14)</calculatedColumnFormula>
    </tableColumn>
    <tableColumn id="4" xr3:uid="{A374E362-13F1-4E74-A14B-39D1AADECC08}" name="Tranche 1_x000a_Import_x000a_coût" dataDxfId="135" dataCellStyle="Normal 2">
      <calculatedColumnFormula>IFERROR(VLOOKUP(Tableau15[[#This Row],[20/40OH]],Tableau6[[20/40OH]:[tranche 8]],2,FALSE)*Tableau15[[#This Row],[Tranche 1
import
nb jour]]*Tableau15[[#This Row],[Nombre de 
conteneur]],0)</calculatedColumnFormula>
    </tableColumn>
    <tableColumn id="13" xr3:uid="{90B238DC-4D12-4AF1-9A88-98AB7120D042}" name="Tranche 2_x000a_import_x000a_nb jour" dataDxfId="134" dataCellStyle="Normal 2">
      <calculatedColumnFormula>IF(AND(Tableau15[[#This Row],[Nombre
jours
total]]&gt;=H$13,Tableau15[[#This Row],[Nombre
jours
total]]&lt;=H$14),Tableau15[[#This Row],[Nombre
jours
total]]-H$13+1,IF(Tableau15[[#This Row],[Nombre
jours
total]]&lt;H$13,0,IF(Tableau15[[#This Row],[Nombre
jours
total]]&gt;H$14,H$14-H$13+1)))</calculatedColumnFormula>
    </tableColumn>
    <tableColumn id="5" xr3:uid="{F6907283-EDC3-4F90-ABEC-CED0A9070239}" name="Tranche 2_x000a_Import_x000a_coût" dataDxfId="133" dataCellStyle="Normal 2">
      <calculatedColumnFormula>IFERROR(VLOOKUP(Tableau15[[#This Row],[20/40OH]],Tableau6[[20/40OH]:[tranche 8]],3,FALSE)*Tableau15[[#This Row],[Tranche 2
import
nb jour]]*Tableau15[[#This Row],[Nombre de 
conteneur]],0)</calculatedColumnFormula>
    </tableColumn>
    <tableColumn id="14" xr3:uid="{E4895AAF-D5E3-46ED-938E-2C1F9E700F32}" name="Tranche 3_x000a_import_x000a_nb jour" dataDxfId="132" dataCellStyle="Normal 2">
      <calculatedColumnFormula>IF(AND(Tableau15[[#This Row],[Nombre
jours
total]]&gt;=I$13,Tableau15[[#This Row],[Nombre
jours
total]]&lt;=I$14),Tableau15[[#This Row],[Nombre
jours
total]]-I$13+1,IF(Tableau15[[#This Row],[Nombre
jours
total]]&lt;I$13,0,IF(Tableau15[[#This Row],[Nombre
jours
total]]&gt;I$14,I$14-I$13+1)))</calculatedColumnFormula>
    </tableColumn>
    <tableColumn id="6" xr3:uid="{425A3024-8EF4-432B-B53B-44F2DFB6C57B}" name="Tranche 3_x000a_Import_x000a_coût" dataDxfId="131" dataCellStyle="Normal 2">
      <calculatedColumnFormula>IFERROR(VLOOKUP(Tableau15[[#This Row],[20/40OH]],Tableau6[[20/40OH]:[tranche 8]],4,FALSE)*Tableau15[[#This Row],[Tranche 3
import
nb jour]]*Tableau15[[#This Row],[Nombre de 
conteneur]],0)</calculatedColumnFormula>
    </tableColumn>
    <tableColumn id="15" xr3:uid="{1084F584-9055-4482-A455-B85B4540E96A}" name="Tranche 4_x000a_import_x000a_nb jour" dataDxfId="130" dataCellStyle="Normal 2">
      <calculatedColumnFormula>IF(AND(Tableau15[[#This Row],[Nombre
jours
total]]&gt;=J$13,Tableau15[[#This Row],[Nombre
jours
total]]&lt;=J$14),Tableau15[[#This Row],[Nombre
jours
total]]-J$13+1,IF(Tableau15[[#This Row],[Nombre
jours
total]]&lt;J$13,0,IF(Tableau15[[#This Row],[Nombre
jours
total]]&gt;J$14,J$14-J$13+1)))</calculatedColumnFormula>
    </tableColumn>
    <tableColumn id="7" xr3:uid="{062B205B-9E39-4069-8464-9AE473517E12}" name="Tranche 4_x000a_Import_x000a_coût" dataDxfId="129" dataCellStyle="Normal 2">
      <calculatedColumnFormula>IFERROR(VLOOKUP(Tableau15[[#This Row],[20/40OH]],Tableau6[[20/40OH]:[tranche 8]],5,FALSE)*Tableau15[[#This Row],[Tranche 4
import
nb jour]]*Tableau15[[#This Row],[Nombre de 
conteneur]],0)</calculatedColumnFormula>
    </tableColumn>
    <tableColumn id="16" xr3:uid="{E80B82F9-C4E3-4FF5-8263-60530FFC731C}" name="Tranche 5_x000a_import_x000a_nb jour" dataDxfId="128" dataCellStyle="Normal 2">
      <calculatedColumnFormula>IF(AND(Tableau15[[#This Row],[Nombre
jours
total]]&gt;=K$13,Tableau15[[#This Row],[Nombre
jours
total]]&lt;=K$14),Tableau15[[#This Row],[Nombre
jours
total]]-K$13+1,IF(Tableau15[[#This Row],[Nombre
jours
total]]&lt;K$13,0,IF(Tableau15[[#This Row],[Nombre
jours
total]]&gt;K$14,K$14-K$13+1)))</calculatedColumnFormula>
    </tableColumn>
    <tableColumn id="8" xr3:uid="{68C6A0BC-BA82-4AF7-960A-E887B36ECBC6}" name="Tranche 5_x000a_Import_x000a_coût" dataDxfId="127" dataCellStyle="Normal 2">
      <calculatedColumnFormula>IFERROR(VLOOKUP(Tableau15[[#This Row],[20/40OH]],Tableau6[[20/40OH]:[tranche 8]],6,FALSE)*Tableau15[[#This Row],[Tranche 5
import
nb jour]]*Tableau15[[#This Row],[Nombre de 
conteneur]],0)</calculatedColumnFormula>
    </tableColumn>
    <tableColumn id="17" xr3:uid="{D72A69AF-E166-4A5B-9FA3-ABEF790B281E}" name="Tranche 6_x000a_import_x000a_nb jour" dataDxfId="126" dataCellStyle="Normal 2">
      <calculatedColumnFormula>IF(AND(Tableau15[[#This Row],[Nombre
jours
total]]&gt;=L$13,Tableau15[[#This Row],[Nombre
jours
total]]&lt;=L$14),Tableau15[[#This Row],[Nombre
jours
total]]-L$13+1,IF(Tableau15[[#This Row],[Nombre
jours
total]]&lt;L$13,0,IF(Tableau15[[#This Row],[Nombre
jours
total]]&gt;L$14,L$14-L$13+1)))</calculatedColumnFormula>
    </tableColumn>
    <tableColumn id="20" xr3:uid="{A1E5DAC1-E90A-45A2-825D-67F4526945A7}" name="Tranche 6_x000a_Import_x000a_coût" dataDxfId="125" dataCellStyle="Normal 2">
      <calculatedColumnFormula>IFERROR(VLOOKUP(Tableau15[[#This Row],[20/40OH]],Tableau6[[20/40OH]:[tranche 8]],7,FALSE)*Tableau15[[#This Row],[Tranche 6
import
nb jour]]*Tableau15[[#This Row],[Nombre de 
conteneur]],0)</calculatedColumnFormula>
    </tableColumn>
    <tableColumn id="18" xr3:uid="{0DF1B56D-F4F9-4BC2-B502-C10B98F078D0}" name="Tranche 7_x000a_import_x000a_nb jour" dataDxfId="124" dataCellStyle="Normal 2">
      <calculatedColumnFormula>IF(AND(Tableau15[[#This Row],[Nombre
jours
total]]&gt;=M$13,Tableau15[[#This Row],[Nombre
jours
total]]&lt;=M$14),Tableau15[[#This Row],[Nombre
jours
total]]-M$13+1,IF(Tableau15[[#This Row],[Nombre
jours
total]]&lt;M$13,0,IF(Tableau15[[#This Row],[Nombre
jours
total]]&gt;M$14,M$14-M$13+1)))</calculatedColumnFormula>
    </tableColumn>
    <tableColumn id="24" xr3:uid="{756E4B1E-A736-4D7D-A1AF-3495497DFBB3}" name="Tranche 7_x000a_Import_x000a_coût" dataDxfId="123" dataCellStyle="Normal 2">
      <calculatedColumnFormula>IFERROR(VLOOKUP(Tableau15[[#This Row],[20/40OH]],Tableau6[[20/40OH]:[tranche 8]],8,FALSE)*Tableau15[[#This Row],[Tranche 7
import
nb jour]]*Tableau15[[#This Row],[Nombre de 
conteneur]],0)</calculatedColumnFormula>
    </tableColumn>
    <tableColumn id="19" xr3:uid="{DAF23C75-9DC8-4C75-998D-45A24E7525F4}" name="Tranche 8_x000a_import_x000a_nb jour" dataDxfId="122" dataCellStyle="Normal 2">
      <calculatedColumnFormula>IF(AND(Tableau15[[#This Row],[Nombre
jours
total]]&gt;=N$13,Tableau15[[#This Row],[Nombre
jours
total]]&lt;=N$14),Tableau15[[#This Row],[Nombre
jours
total]]-N$13+1,IF(Tableau15[[#This Row],[Nombre
jours
total]]&lt;N$13,0,IF(Tableau15[[#This Row],[Nombre
jours
total]]&gt;N$14,N$14-N$13+1)))</calculatedColumnFormula>
    </tableColumn>
    <tableColumn id="25" xr3:uid="{E0854190-20B8-4F6F-B92B-E7BCE31429FF}" name="Tranche 8_x000a_Import_x000a_coût" dataDxfId="121" dataCellStyle="Normal 2">
      <calculatedColumnFormula>IFERROR(VLOOKUP(Tableau15[[#This Row],[20/40OH]],Tableau6[[20/40OH]:[tranche 8]],9,FALSE)*Tableau15[[#This Row],[Tranche 8
import
nb jour]]*Tableau15[[#This Row],[Nombre de 
conteneur]],0)</calculatedColumnFormula>
    </tableColumn>
    <tableColumn id="26" xr3:uid="{4E2D9445-D31D-4BEE-9A85-CE7693653101}" name="Total_x000a_Stationnement" dataDxfId="120" dataCellStyle="Normal 2">
      <calculatedColumnFormula>+Tableau15[[#This Row],[Tranche 8
Import
coût]]+Tableau15[[#This Row],[Tranche 7
Import
coût]]+Tableau15[[#This Row],[Tranche 6
Import
coût]]+Tableau15[[#This Row],[Tranche 5
Import
coût]]+Tableau15[[#This Row],[Tranche 4
Import
coût]]+Tableau15[[#This Row],[Tranche 3
Import
coût]]+Tableau15[[#This Row],[Tranche 2
Import
coût]]</calculatedColumnFormula>
    </tableColumn>
    <tableColumn id="21" xr3:uid="{12BA21BD-6D4E-4A9B-9DB7-F11DE784D158}" name="Contrôle_x000a_jours" dataDxfId="119">
      <calculatedColumnFormula>+Tableau15[[#This Row],[Tranche 8
import
nb jour]]+Tableau15[[#This Row],[Tranche 7
import
nb jour]]+Tableau15[[#This Row],[Tranche 6
import
nb jour]]+Tableau15[[#This Row],[Tranche 5
import
nb jour]]+Tableau15[[#This Row],[Tranche 4
import
nb jour]]+Tableau15[[#This Row],[Tranche 3
import
nb jour]]+Tableau15[[#This Row],[Tranche 2
import
nb jour]]+Tableau15[[#This Row],[Tranche 1
import
nb jour]]-Tableau15[[#This Row],[Nombre
jours
total]]</calculatedColumnFormula>
    </tableColumn>
  </tableColumns>
  <tableStyleInfo name="TableStyleMedium16"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A6973159-7BFD-4030-9BB4-4D83ADE3DCBF}" name="Tableau6" displayName="Tableau6" ref="D6:N15" totalsRowShown="0" headerRowDxfId="118" dataDxfId="117" dataCellStyle="Normal 2">
  <autoFilter ref="D6:N15" xr:uid="{A6973159-7BFD-4030-9BB4-4D83ADE3DCBF}"/>
  <tableColumns count="11">
    <tableColumn id="14" xr3:uid="{524D4F23-E887-4E8B-849A-A827CD4AD20F}" name="Taille" dataDxfId="116" dataCellStyle="Normal 2"/>
    <tableColumn id="13" xr3:uid="{EB2AAF58-BF18-425D-8CF1-DEB592670FC4}" name="Type" dataDxfId="115" dataCellStyle="Normal 2"/>
    <tableColumn id="1" xr3:uid="{7AEE0A85-F9E9-4AE3-80B6-BB4F94CD88D5}" name="20/40OH" dataDxfId="114"/>
    <tableColumn id="3" xr3:uid="{179A3D1A-17E9-45FB-892F-92048CCC9638}" name="tranche 1" dataDxfId="113" dataCellStyle="Normal 2"/>
    <tableColumn id="4" xr3:uid="{0A203911-65AD-4010-83E9-A5AC8DD47134}" name="tranche 2" dataDxfId="112" dataCellStyle="Normal 2"/>
    <tableColumn id="5" xr3:uid="{8721E506-298E-463A-A7B1-0CBBAA7E33C4}" name="tranche 3" dataDxfId="111" dataCellStyle="Normal 2"/>
    <tableColumn id="6" xr3:uid="{4765DC72-2F2E-432D-BEEF-7884471B9BB5}" name="tranche 4" dataDxfId="110" dataCellStyle="Normal 2"/>
    <tableColumn id="7" xr3:uid="{81016EAF-3988-478B-8EA0-430BA79ADD46}" name="tranche 5" dataDxfId="109" dataCellStyle="Normal 2"/>
    <tableColumn id="8" xr3:uid="{9E02919D-5FF8-42FB-A0B8-46327EB35422}" name="tranche 6" dataDxfId="108" dataCellStyle="Normal 2"/>
    <tableColumn id="9" xr3:uid="{5D9E746D-06C0-47D1-A52B-169D07B298E5}" name="tranche 7" dataDxfId="107" dataCellStyle="Normal 2"/>
    <tableColumn id="10" xr3:uid="{38715F50-2812-406E-A4F3-4E29F60E7368}" name="tranche 8" dataDxfId="106" dataCellStyle="Normal 2"/>
  </tableColumns>
  <tableStyleInfo name="TableStyleMedium16"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30743BA6-2B64-455E-8163-E45E425DBC75}" name="Tableau1510" displayName="Tableau1510" ref="A18:T19" totalsRowShown="0" headerRowDxfId="105" dataDxfId="104" headerRowCellStyle="Normal 2" dataCellStyle="Normal 2">
  <autoFilter ref="A18:T19" xr:uid="{3C190F7E-BA00-4AB8-A2C7-82B5CC61FD85}"/>
  <tableColumns count="20">
    <tableColumn id="1" xr3:uid="{ADA8C2D1-5554-4E8B-9483-1A644713CF1A}" name="Nombre de _x000a_marchandises" dataDxfId="103"/>
    <tableColumn id="9" xr3:uid="{BAF35CED-8853-4115-8382-404B93BFABC9}" name="Type" dataDxfId="102"/>
    <tableColumn id="2" xr3:uid="{C3132167-8E11-4A8B-B49E-75583D802FA7}" name="Date début_x000a_'Débarquement'" dataDxfId="101"/>
    <tableColumn id="3" xr3:uid="{9F407B86-615C-44CC-87A5-C94F27B0937E}" name="Date fin_x000a_'Livraison'" dataDxfId="100"/>
    <tableColumn id="11" xr3:uid="{C9E05E9C-5D06-426E-BA06-C3A12B783755}" name="Nombre_x000a_jours_x000a_total" dataDxfId="99">
      <calculatedColumnFormula>+IF(Tableau1510[[#This Row],[Nombre de 
marchandises]]="",0,Tableau1510[[#This Row],[Date fin
''Livraison'']]-Tableau1510[[#This Row],[Date début
''Débarquement'']]+1)</calculatedColumnFormula>
    </tableColumn>
    <tableColumn id="12" xr3:uid="{E762DB07-67BF-4717-AC98-D377D7F71CB9}" name="Tranche 1_x000a_import_x000a_nb jour" dataDxfId="98" dataCellStyle="Normal 2">
      <calculatedColumnFormula>IF(Tableau1510[[#This Row],[Nombre
jours
total]]&lt;=F$11,Tableau1510[[#This Row],[Nombre
jours
total]],F$11)</calculatedColumnFormula>
    </tableColumn>
    <tableColumn id="4" xr3:uid="{3CE05535-C7AE-4075-A81E-32B90F468573}" name="Tranche 1_x000a_Import_x000a_coût" dataDxfId="97" dataCellStyle="Normal 2">
      <calculatedColumnFormula>IFERROR(VLOOKUP(Tableau1510[[#This Row],[Type]],Tableau611[],3,FALSE)*Tableau1510[[#This Row],[Tranche 1
import
nb jour]]*Tableau1510[[#This Row],[Nombre de 
marchandises]],0)</calculatedColumnFormula>
    </tableColumn>
    <tableColumn id="13" xr3:uid="{471C02D1-7C0A-42B7-8275-7A13A1DA733C}" name="Tranche 2_x000a_import_x000a_nb jour" dataDxfId="96" dataCellStyle="Normal 2">
      <calculatedColumnFormula>IF(AND(Tableau1510[[#This Row],[Nombre
jours
total]]&gt;=G$10,Tableau1510[[#This Row],[Nombre
jours
total]]&lt;=G$11),Tableau1510[[#This Row],[Nombre
jours
total]]-G$10+1,IF(Tableau1510[[#This Row],[Nombre
jours
total]]&lt;G$10,0,IF(Tableau1510[[#This Row],[Nombre
jours
total]]&gt;G$11,G$11-G$10+1)))</calculatedColumnFormula>
    </tableColumn>
    <tableColumn id="5" xr3:uid="{2263D092-5E0D-40F0-AAB7-75A492BD6A53}" name="Tranche 2_x000a_Import_x000a_coût" dataDxfId="95" dataCellStyle="Normal 2">
      <calculatedColumnFormula>IFERROR(VLOOKUP(Tableau1510[[#This Row],[Type]],Tableau611[],4,FALSE)*Tableau1510[[#This Row],[Tranche 2
import
nb jour]]*Tableau1510[[#This Row],[Nombre de 
marchandises]],0)</calculatedColumnFormula>
    </tableColumn>
    <tableColumn id="14" xr3:uid="{D16F7312-0B96-49B1-85B0-A1C9AA4FCDE4}" name="Tranche 3_x000a_import_x000a_nb jour" dataDxfId="94" dataCellStyle="Normal 2">
      <calculatedColumnFormula>IF(AND(Tableau1510[[#This Row],[Nombre
jours
total]]&gt;=H$10,Tableau1510[[#This Row],[Nombre
jours
total]]&lt;=H$11),Tableau1510[[#This Row],[Nombre
jours
total]]-H$10+1,IF(Tableau1510[[#This Row],[Nombre
jours
total]]&lt;H$10,0,IF(Tableau1510[[#This Row],[Nombre
jours
total]]&gt;H$11,H$11-H$10+1)))</calculatedColumnFormula>
    </tableColumn>
    <tableColumn id="6" xr3:uid="{54F94A4D-B77B-41EA-BA43-73AFFC008DA4}" name="Tranche 3_x000a_Import_x000a_coût" dataDxfId="93" dataCellStyle="Normal 2">
      <calculatedColumnFormula>IFERROR(VLOOKUP(Tableau1510[[#This Row],[Type]],Tableau611[],5,FALSE)*Tableau1510[[#This Row],[Tranche 3
import
nb jour]]*Tableau1510[[#This Row],[Nombre de 
marchandises]],0)</calculatedColumnFormula>
    </tableColumn>
    <tableColumn id="15" xr3:uid="{89E472BF-B5CD-4D4D-98F6-2C11226E9B64}" name="Tranche 4_x000a_import_x000a_nb jour" dataDxfId="92" dataCellStyle="Normal 2">
      <calculatedColumnFormula>IF(AND(Tableau1510[[#This Row],[Nombre
jours
total]]&gt;=I$10,Tableau1510[[#This Row],[Nombre
jours
total]]&lt;=I$11),Tableau1510[[#This Row],[Nombre
jours
total]]-I$10+1,IF(Tableau1510[[#This Row],[Nombre
jours
total]]&lt;I$10,0,IF(Tableau1510[[#This Row],[Nombre
jours
total]]&gt;I$11,I$11-I$10+1)))</calculatedColumnFormula>
    </tableColumn>
    <tableColumn id="7" xr3:uid="{C3C6240C-696A-4A93-9786-ECCA248BD793}" name="Tranche 4_x000a_Import_x000a_coût" dataDxfId="91" dataCellStyle="Normal 2">
      <calculatedColumnFormula>IFERROR(VLOOKUP(Tableau1510[[#This Row],[Type]],Tableau611[],6,FALSE)*Tableau1510[[#This Row],[Tranche 4
import
nb jour]]*Tableau1510[[#This Row],[Nombre de 
marchandises]],0)</calculatedColumnFormula>
    </tableColumn>
    <tableColumn id="16" xr3:uid="{3BF5D896-2D08-4BBC-86DF-1C82D70762C2}" name="Tranche 5_x000a_import_x000a_nb jour" dataDxfId="90" dataCellStyle="Normal 2">
      <calculatedColumnFormula>IF(AND(Tableau1510[[#This Row],[Nombre
jours
total]]&gt;=J$10,Tableau1510[[#This Row],[Nombre
jours
total]]&lt;=J$11),Tableau1510[[#This Row],[Nombre
jours
total]]-J$10+1,IF(Tableau1510[[#This Row],[Nombre
jours
total]]&lt;J$10,0,IF(Tableau1510[[#This Row],[Nombre
jours
total]]&gt;J$11,J$11-J$10+1)))</calculatedColumnFormula>
    </tableColumn>
    <tableColumn id="8" xr3:uid="{D43CDA62-7D03-4EE9-BA2A-BD583890B96A}" name="Tranche 5_x000a_Import_x000a_coût" dataDxfId="89" dataCellStyle="Normal 2">
      <calculatedColumnFormula>IFERROR(VLOOKUP(Tableau1510[[#This Row],[Type]],Tableau611[],7,FALSE)*Tableau1510[[#This Row],[Tranche 5
import
nb jour]]*Tableau1510[[#This Row],[Nombre de 
marchandises]],0)</calculatedColumnFormula>
    </tableColumn>
    <tableColumn id="17" xr3:uid="{8635A27B-6551-4B0F-9CB0-E8F38AD790C2}" name="Tranche 6_x000a_import_x000a_nb jour" dataDxfId="88" dataCellStyle="Normal 2">
      <calculatedColumnFormula>IF(AND(Tableau1510[[#This Row],[Nombre
jours
total]]&gt;=K$10,Tableau1510[[#This Row],[Nombre
jours
total]]&lt;=K$11),Tableau1510[[#This Row],[Nombre
jours
total]]-K$10+1,IF(Tableau1510[[#This Row],[Nombre
jours
total]]&lt;K$10,0,IF(Tableau1510[[#This Row],[Nombre
jours
total]]&gt;K$11,K$11-K$10+1)))</calculatedColumnFormula>
    </tableColumn>
    <tableColumn id="20" xr3:uid="{FA48B4F5-BD36-4688-9BE0-EFF13DE9661E}" name="Tranche 6_x000a_Import_x000a_coût" dataDxfId="87" dataCellStyle="Normal 2">
      <calculatedColumnFormula>IFERROR(VLOOKUP(Tableau1510[[#This Row],[Type]],Tableau611[],8,FALSE)*Tableau1510[[#This Row],[Tranche 6
import
nb jour]]*Tableau1510[[#This Row],[Nombre de 
marchandises]],0)</calculatedColumnFormula>
    </tableColumn>
    <tableColumn id="18" xr3:uid="{8F954840-632C-487F-ABCF-0CE83AEA4BFB}" name="Tranche 7_x000a_import_x000a_nb jour" dataDxfId="86" dataCellStyle="Normal 2">
      <calculatedColumnFormula>IF(AND(Tableau1510[[#This Row],[Nombre
jours
total]]&gt;=L$10,Tableau1510[[#This Row],[Nombre
jours
total]]&lt;=L$11),Tableau1510[[#This Row],[Nombre
jours
total]]-L$10+1,IF(Tableau1510[[#This Row],[Nombre
jours
total]]&lt;L$10,0,IF(Tableau1510[[#This Row],[Nombre
jours
total]]&gt;L$11,L$11-L$10+1)))</calculatedColumnFormula>
    </tableColumn>
    <tableColumn id="24" xr3:uid="{51C9335C-013A-4855-A56E-6756918E64D5}" name="Tranche 7_x000a_Import_x000a_coût" dataDxfId="85" dataCellStyle="Normal 2">
      <calculatedColumnFormula>IFERROR(VLOOKUP(Tableau1510[[#This Row],[Type]],Tableau611[],9,FALSE)*Tableau1510[[#This Row],[Tranche 6
import
nb jour]]*Tableau1510[[#This Row],[Nombre de 
marchandises]],0)</calculatedColumnFormula>
    </tableColumn>
    <tableColumn id="26" xr3:uid="{4A050425-F5A0-4B7E-AF56-1628BE76C815}" name="Total_x000a_Stationnement" dataDxfId="84" dataCellStyle="Normal 2">
      <calculatedColumnFormula>+Tableau1510[[#This Row],[Tranche 7
Import
coût]]+Tableau1510[[#This Row],[Tranche 6
Import
coût]]+Tableau1510[[#This Row],[Tranche 5
Import
coût]]+Tableau1510[[#This Row],[Tranche 4
Import
coût]]+Tableau1510[[#This Row],[Tranche 3
Import
coût]]+Tableau1510[[#This Row],[Tranche 2
Import
coût]]+Tableau1510[[#This Row],[Tranche 1
Import
coût]]</calculatedColumnFormula>
    </tableColumn>
  </tableColumns>
  <tableStyleInfo name="TableStyleMedium16"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DF115D78-F919-4503-832B-D23460EF8CCF}" name="Tableau611" displayName="Tableau611" ref="D6:L12" totalsRowShown="0" headerRowDxfId="83" dataDxfId="82" dataCellStyle="Normal 2">
  <autoFilter ref="D6:L12" xr:uid="{A6973159-7BFD-4030-9BB4-4D83ADE3DCBF}"/>
  <tableColumns count="9">
    <tableColumn id="14" xr3:uid="{7780DCC5-6A6D-41BF-9F15-8F106C61FD8F}" name="Type" dataDxfId="81" dataCellStyle="Normal 2"/>
    <tableColumn id="13" xr3:uid="{7F51F0EE-F4B5-4F2B-8428-B11BC63DD71D}" name="Type2" dataDxfId="80" dataCellStyle="Normal 2"/>
    <tableColumn id="3" xr3:uid="{6D847767-371C-46B6-B51F-3B10C9D07834}" name="tranche 1" dataDxfId="79" dataCellStyle="Normal 2"/>
    <tableColumn id="4" xr3:uid="{16F8B989-866D-4D32-BED1-3080CB628E55}" name="tranche 2" dataDxfId="78" dataCellStyle="Normal 2"/>
    <tableColumn id="5" xr3:uid="{50FD5C46-560B-4715-A619-AF0EADED8545}" name="tranche 3" dataDxfId="77" dataCellStyle="Normal 2"/>
    <tableColumn id="6" xr3:uid="{8806F82B-593D-41F2-8350-002D1D88407F}" name="tranche 4" dataDxfId="76" dataCellStyle="Normal 2"/>
    <tableColumn id="7" xr3:uid="{2C1D464F-5988-49DE-837D-D13792C7ABC6}" name="tranche 5" dataDxfId="75" dataCellStyle="Normal 2"/>
    <tableColumn id="8" xr3:uid="{653E1DB9-6B54-40D0-99B3-243EA6922092}" name="tranche 6" dataDxfId="74" dataCellStyle="Normal 2"/>
    <tableColumn id="9" xr3:uid="{8FD9CD28-0134-4621-9C18-186B17EBA0BF}" name="tranche 7" dataDxfId="73" dataCellStyle="Normal 2"/>
  </tableColumns>
  <tableStyleInfo name="TableStyleMedium16"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1615FA15-1C47-400D-BC06-8EF89EE7F36F}" name="Tableau158" displayName="Tableau158" ref="A21:Y22" totalsRowShown="0" headerRowDxfId="72" dataDxfId="71" headerRowCellStyle="Normal 2" dataCellStyle="Normal 2">
  <autoFilter ref="A21:Y22" xr:uid="{3C190F7E-BA00-4AB8-A2C7-82B5CC61FD85}"/>
  <tableColumns count="25">
    <tableColumn id="1" xr3:uid="{B8A590A5-A044-42AC-8E02-5ED0DCBAD1A5}" name="Nombre de _x000a_conteneur" dataDxfId="70"/>
    <tableColumn id="9" xr3:uid="{8D4785B5-BFA0-46A1-8430-D564E188E93F}" name="Taille" dataDxfId="69"/>
    <tableColumn id="10" xr3:uid="{C8549E4B-E50D-4F88-B8C5-24A9CEC2E967}" name="Type_x000a_OH/DGX" dataDxfId="68"/>
    <tableColumn id="2" xr3:uid="{91F7D1CC-5E32-4D86-9C17-243C3C7E23DB}" name="Date début_x000a_'Réception'" dataDxfId="67"/>
    <tableColumn id="3" xr3:uid="{4D4A4B3E-ECDA-4523-99E3-4B22671F2C93}" name="Date fin_x000a_'Embarquement'" dataDxfId="66"/>
    <tableColumn id="23" xr3:uid="{ECF61D36-F519-42DE-B9DE-A7AFF3AE7EA5}" name="20/40OH" dataDxfId="65">
      <calculatedColumnFormula>IF(OR(Tableau158[[#This Row],[Type
OH/DGX]]="DGX",Tableau158[[#This Row],[Type
OH/DGX]]="OH"),CONCATENATE(Tableau158[[#This Row],[Taille]]," ohdgx"),Tableau158[[#This Row],[Taille]])</calculatedColumnFormula>
    </tableColumn>
    <tableColumn id="11" xr3:uid="{1A86246B-1B3A-45CE-B3DD-2A52A45FFADF}" name="Nombre_x000a_jours_x000a_total" dataDxfId="64">
      <calculatedColumnFormula>+IF(Tableau158[[#This Row],[Nombre de 
conteneur]]="",0,Tableau158[[#This Row],[Date fin
''Embarquement'']]-Tableau158[[#This Row],[Date début
''Réception'']]+1)</calculatedColumnFormula>
    </tableColumn>
    <tableColumn id="12" xr3:uid="{524F7C1C-B09D-443A-8D93-7C42B6C825BE}" name="Tranche 1_x000a_export_x000a_nb jour" dataDxfId="63" dataCellStyle="Normal 2">
      <calculatedColumnFormula>IF(Tableau158[[#This Row],[Nombre
jours
total]]&lt;=G$14,Tableau158[[#This Row],[Nombre
jours
total]],G$14)</calculatedColumnFormula>
    </tableColumn>
    <tableColumn id="4" xr3:uid="{5E931687-3116-43DD-AFC4-6A7543BA84AE}" name="Tranche 1_x000a_export_x000a_coût" dataDxfId="62" dataCellStyle="Normal 2">
      <calculatedColumnFormula>IFERROR(VLOOKUP(Tableau158[[#This Row],[20/40OH]],Tableau69[[20/40OH]:[tranche 8]],2,FALSE)*Tableau158[[#This Row],[Tranche 1
export
nb jour]]*Tableau158[[#This Row],[Nombre de 
conteneur]],0)</calculatedColumnFormula>
    </tableColumn>
    <tableColumn id="13" xr3:uid="{3B3CC846-79C2-4B8B-B4EC-798E5497D7D2}" name="Tranche 2_x000a_export_x000a_nb jour" dataDxfId="61" dataCellStyle="Normal 2">
      <calculatedColumnFormula>IF(AND(Tableau158[[#This Row],[Nombre
jours
total]]&gt;=H$13,Tableau158[[#This Row],[Nombre
jours
total]]&lt;=H$14),Tableau158[[#This Row],[Nombre
jours
total]]-H$13+1,IF(Tableau158[[#This Row],[Nombre
jours
total]]&lt;H$13,0,IF(Tableau158[[#This Row],[Nombre
jours
total]]&gt;H$14,H$14-H$13+1)))</calculatedColumnFormula>
    </tableColumn>
    <tableColumn id="5" xr3:uid="{93A04291-7BBA-4838-933E-772FE7A512A2}" name="Tranche 2_x000a_export_x000a_coût" dataDxfId="60" dataCellStyle="Normal 2">
      <calculatedColumnFormula>IFERROR(VLOOKUP(Tableau158[[#This Row],[20/40OH]],Tableau69[[20/40OH]:[tranche 8]],3,FALSE)*Tableau158[[#This Row],[Tranche 2
export
nb jour]]*Tableau158[[#This Row],[Nombre de 
conteneur]],0)</calculatedColumnFormula>
    </tableColumn>
    <tableColumn id="14" xr3:uid="{6969855E-B567-4CFF-B54E-DA6582D80EB2}" name="Tranche 3_x000a_export_x000a_nb jour" dataDxfId="59" dataCellStyle="Normal 2">
      <calculatedColumnFormula>IF(AND(Tableau158[[#This Row],[Nombre
jours
total]]&gt;=I$13,Tableau158[[#This Row],[Nombre
jours
total]]&lt;=I$14),Tableau158[[#This Row],[Nombre
jours
total]]-I$13+1,IF(Tableau158[[#This Row],[Nombre
jours
total]]&lt;I$13,0,IF(Tableau158[[#This Row],[Nombre
jours
total]]&gt;I$14,I$14-I$13+1)))</calculatedColumnFormula>
    </tableColumn>
    <tableColumn id="6" xr3:uid="{E776DDA7-FC00-497D-972A-E5A16BE5009C}" name="Tranche 3_x000a_export_x000a_coût" dataDxfId="58" dataCellStyle="Normal 2">
      <calculatedColumnFormula>IFERROR(VLOOKUP(Tableau158[[#This Row],[20/40OH]],Tableau69[[20/40OH]:[tranche 8]],4,FALSE)*Tableau158[[#This Row],[Tranche 3
export
nb jour]]*Tableau158[[#This Row],[Nombre de 
conteneur]],0)</calculatedColumnFormula>
    </tableColumn>
    <tableColumn id="15" xr3:uid="{E9C30F13-F343-459C-B0F3-97EB74949652}" name="Tranche 4_x000a_export_x000a_nb jour" dataDxfId="57" dataCellStyle="Normal 2">
      <calculatedColumnFormula>IF(AND(Tableau158[[#This Row],[Nombre
jours
total]]&gt;=J$13,Tableau158[[#This Row],[Nombre
jours
total]]&lt;=J$14),Tableau158[[#This Row],[Nombre
jours
total]]-J$13+1,IF(Tableau158[[#This Row],[Nombre
jours
total]]&lt;J$13,0,IF(Tableau158[[#This Row],[Nombre
jours
total]]&gt;J$14,J$14-J$13+1)))</calculatedColumnFormula>
    </tableColumn>
    <tableColumn id="7" xr3:uid="{32E68A61-C789-45F5-A3E6-00FDB7C4B4B2}" name="Tranche 4_x000a_export_x000a_coût" dataDxfId="56" dataCellStyle="Normal 2">
      <calculatedColumnFormula>IFERROR(VLOOKUP(Tableau158[[#This Row],[20/40OH]],Tableau69[[20/40OH]:[tranche 8]],5,FALSE)*Tableau158[[#This Row],[Tranche 4
export
nb jour]]*Tableau158[[#This Row],[Nombre de 
conteneur]],0)</calculatedColumnFormula>
    </tableColumn>
    <tableColumn id="16" xr3:uid="{EDDB862C-E2C2-4DAA-AB5B-D3699FFCB077}" name="Tranche 5_x000a_export_x000a_nb jour" dataDxfId="55" dataCellStyle="Normal 2">
      <calculatedColumnFormula>IF(AND(Tableau158[[#This Row],[Nombre
jours
total]]&gt;=K$13,Tableau158[[#This Row],[Nombre
jours
total]]&lt;=K$14),Tableau158[[#This Row],[Nombre
jours
total]]-K$13+1,IF(Tableau158[[#This Row],[Nombre
jours
total]]&lt;K$13,0,IF(Tableau158[[#This Row],[Nombre
jours
total]]&gt;K$14,K$14-K$13+1)))</calculatedColumnFormula>
    </tableColumn>
    <tableColumn id="8" xr3:uid="{1C486355-B63C-4509-9626-D5B799FFE775}" name="Tranche 5_x000a_export_x000a_coût" dataDxfId="54" dataCellStyle="Normal 2">
      <calculatedColumnFormula>IFERROR(VLOOKUP(Tableau158[[#This Row],[20/40OH]],Tableau69[[20/40OH]:[tranche 8]],6,FALSE)*Tableau158[[#This Row],[Tranche 5
export
nb jour]]*Tableau158[[#This Row],[Nombre de 
conteneur]],0)</calculatedColumnFormula>
    </tableColumn>
    <tableColumn id="17" xr3:uid="{ABC5D104-0C3F-4460-9548-B1A2258FEDC6}" name="Tranche 6_x000a_export_x000a_nb jour" dataDxfId="53" dataCellStyle="Normal 2">
      <calculatedColumnFormula>IF(AND(Tableau158[[#This Row],[Nombre
jours
total]]&gt;=L$13,Tableau158[[#This Row],[Nombre
jours
total]]&lt;=L$14),Tableau158[[#This Row],[Nombre
jours
total]]-L$13+1,IF(Tableau158[[#This Row],[Nombre
jours
total]]&lt;L$13,0,IF(Tableau158[[#This Row],[Nombre
jours
total]]&gt;L$14,L$14-L$13+1)))</calculatedColumnFormula>
    </tableColumn>
    <tableColumn id="20" xr3:uid="{FE33E613-08E7-4A65-8427-E399F0AFB09E}" name="Tranche 6_x000a_export_x000a_coût" dataDxfId="52" dataCellStyle="Normal 2">
      <calculatedColumnFormula>IFERROR(VLOOKUP(Tableau158[[#This Row],[20/40OH]],Tableau69[[20/40OH]:[tranche 8]],7,FALSE)*Tableau158[[#This Row],[Tranche 6
export
nb jour]]*Tableau158[[#This Row],[Nombre de 
conteneur]],0)</calculatedColumnFormula>
    </tableColumn>
    <tableColumn id="18" xr3:uid="{D7DD4C72-E6F5-4E22-AE4C-CA7E594F760B}" name="Tranche 7_x000a_export_x000a_nb jour" dataDxfId="51" dataCellStyle="Normal 2">
      <calculatedColumnFormula>IF(AND(Tableau158[[#This Row],[Nombre
jours
total]]&gt;=M$13,Tableau158[[#This Row],[Nombre
jours
total]]&lt;=M$14),Tableau158[[#This Row],[Nombre
jours
total]]-M$13+1,IF(Tableau158[[#This Row],[Nombre
jours
total]]&lt;M$13,0,IF(Tableau158[[#This Row],[Nombre
jours
total]]&gt;M$14,M$14-M$13+1)))</calculatedColumnFormula>
    </tableColumn>
    <tableColumn id="24" xr3:uid="{60CAC185-69BF-4710-9121-0F1B5862D0FC}" name="Tranche 7_x000a_export_x000a_coût" dataDxfId="50" dataCellStyle="Normal 2">
      <calculatedColumnFormula>IFERROR(VLOOKUP(Tableau158[[#This Row],[20/40OH]],Tableau69[[20/40OH]:[tranche 8]],8,FALSE)*Tableau158[[#This Row],[Tranche 7
export
nb jour]]*Tableau158[[#This Row],[Nombre de 
conteneur]],0)</calculatedColumnFormula>
    </tableColumn>
    <tableColumn id="19" xr3:uid="{5515F807-8031-4CE6-B47D-24C417A1B4F3}" name="Tranche 8_x000a_export_x000a_nb jour" dataDxfId="49" dataCellStyle="Normal 2">
      <calculatedColumnFormula>IF(AND(Tableau158[[#This Row],[Nombre
jours
total]]&gt;=N$13,Tableau158[[#This Row],[Nombre
jours
total]]&lt;=N$14),Tableau158[[#This Row],[Nombre
jours
total]]-N$13+1,IF(Tableau158[[#This Row],[Nombre
jours
total]]&lt;N$13,0,IF(Tableau158[[#This Row],[Nombre
jours
total]]&gt;N$14,N$14-N$13+1)))</calculatedColumnFormula>
    </tableColumn>
    <tableColumn id="25" xr3:uid="{18B08CFD-FF57-4619-91EA-96B71892CE15}" name="Tranche 8_x000a_export_x000a_coût" dataDxfId="48" dataCellStyle="Normal 2">
      <calculatedColumnFormula>IFERROR(VLOOKUP(Tableau158[[#This Row],[20/40OH]],Tableau69[[20/40OH]:[tranche 8]],9,FALSE)*Tableau158[[#This Row],[Tranche 8
export
nb jour]]*Tableau158[[#This Row],[Nombre de 
conteneur]],0)</calculatedColumnFormula>
    </tableColumn>
    <tableColumn id="26" xr3:uid="{50517526-8795-4295-B5CA-D308B69164E2}" name="Total_x000a_Stationnement" dataDxfId="47" dataCellStyle="Normal 2">
      <calculatedColumnFormula>+Tableau158[[#This Row],[Tranche 8
export
coût]]+Tableau158[[#This Row],[Tranche 7
export
coût]]+Tableau158[[#This Row],[Tranche 6
export
coût]]+Tableau158[[#This Row],[Tranche 5
export
coût]]+Tableau158[[#This Row],[Tranche 4
export
coût]]+Tableau158[[#This Row],[Tranche 3
export
coût]]+Tableau158[[#This Row],[Tranche 2
export
coût]]</calculatedColumnFormula>
    </tableColumn>
    <tableColumn id="21" xr3:uid="{C30D74A8-44B5-47CA-9064-37C5FE13B255}" name="Contrôle_x000a_jours" dataDxfId="46">
      <calculatedColumnFormula>+Tableau158[[#This Row],[Tranche 8
export
nb jour]]+Tableau158[[#This Row],[Tranche 7
export
nb jour]]+Tableau158[[#This Row],[Tranche 6
export
nb jour]]+Tableau158[[#This Row],[Tranche 5
export
nb jour]]+Tableau158[[#This Row],[Tranche 4
export
nb jour]]+Tableau158[[#This Row],[Tranche 3
export
nb jour]]+Tableau158[[#This Row],[Tranche 2
export
nb jour]]+Tableau158[[#This Row],[Tranche 1
export
nb jour]]-Tableau158[[#This Row],[Nombre
jours
total]]</calculatedColumnFormula>
    </tableColumn>
  </tableColumns>
  <tableStyleInfo name="TableStyleMedium16"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F76D3FA1-384C-4FA5-B8EF-DC5E4010F9A9}" name="Tableau69" displayName="Tableau69" ref="D6:N15" totalsRowShown="0" headerRowDxfId="45" dataDxfId="44" dataCellStyle="Normal 2">
  <autoFilter ref="D6:N15" xr:uid="{A6973159-7BFD-4030-9BB4-4D83ADE3DCBF}"/>
  <tableColumns count="11">
    <tableColumn id="14" xr3:uid="{7F559758-5C26-4F2D-A8EB-046DB29C63BA}" name="Taille" dataDxfId="43" dataCellStyle="Normal 2"/>
    <tableColumn id="13" xr3:uid="{D6C1792F-A27A-467A-95E3-D423FD6A6F2C}" name="Type" dataDxfId="42" dataCellStyle="Normal 2"/>
    <tableColumn id="1" xr3:uid="{3E9EB062-86DA-48E2-82D1-6FAC90E648C9}" name="20/40OH" dataDxfId="41"/>
    <tableColumn id="3" xr3:uid="{FAD0F562-A9F9-4392-BE42-C8024BC8C973}" name="tranche 1" dataDxfId="40" dataCellStyle="Normal 2"/>
    <tableColumn id="4" xr3:uid="{33B98D16-6F3D-427D-A9CB-C4ABEF9349AF}" name="tranche 2" dataDxfId="39" dataCellStyle="Normal 2"/>
    <tableColumn id="5" xr3:uid="{DD63C450-D78F-4EE4-854E-CE4484054DC2}" name="tranche 3" dataDxfId="38" dataCellStyle="Normal 2"/>
    <tableColumn id="6" xr3:uid="{B37F1183-68D0-4C3F-8E1C-BC9141611074}" name="tranche 4" dataDxfId="37" dataCellStyle="Normal 2"/>
    <tableColumn id="7" xr3:uid="{5B737A9A-50EF-42BC-B155-CFCDD6F9E90F}" name="tranche 5" dataDxfId="36" dataCellStyle="Normal 2"/>
    <tableColumn id="8" xr3:uid="{D455C7E1-A661-4167-AD48-F2AD4511F6F6}" name="tranche 6" dataDxfId="35" dataCellStyle="Normal 2"/>
    <tableColumn id="9" xr3:uid="{653AEADA-BB2A-416F-8414-67273210DA92}" name="tranche 7" dataDxfId="34" dataCellStyle="Normal 2"/>
    <tableColumn id="10" xr3:uid="{B06FC2EF-06FB-4060-B69C-0FFC14170210}" name="tranche 8" dataDxfId="33" dataCellStyle="Normal 2"/>
  </tableColumns>
  <tableStyleInfo name="TableStyleMedium16"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AB22F748-E6FC-4811-BD70-F9299A6CEC59}" name="Tableau15106" displayName="Tableau15106" ref="A18:T19" totalsRowShown="0" headerRowDxfId="32" dataDxfId="31" headerRowCellStyle="Normal 2" dataCellStyle="Normal 2">
  <autoFilter ref="A18:T19" xr:uid="{3C190F7E-BA00-4AB8-A2C7-82B5CC61FD85}"/>
  <tableColumns count="20">
    <tableColumn id="1" xr3:uid="{FB57637A-C2CF-4B16-B6B3-732434D5FA4D}" name="Nombre de _x000a_marchandises" dataDxfId="30"/>
    <tableColumn id="9" xr3:uid="{AE0B5AD2-00E0-41C5-8C15-5522DFB2066E}" name="Type" dataDxfId="29"/>
    <tableColumn id="2" xr3:uid="{E0229BDF-A20A-4214-9000-FE3B83597E13}" name="Date début_x000a_'Réception'" dataDxfId="28"/>
    <tableColumn id="3" xr3:uid="{EBA2ED14-52C5-499D-A779-D9EE19FDBC45}" name="Date fin_x000a_'Embarquement'" dataDxfId="27"/>
    <tableColumn id="11" xr3:uid="{E22CF116-14FA-4E48-97B4-74AE158997AF}" name="Nombre_x000a_jours_x000a_total" dataDxfId="26">
      <calculatedColumnFormula>+IF(Tableau15106[[#This Row],[Nombre de 
marchandises]]="",0,Tableau15106[[#This Row],[Date fin
''Embarquement'']]-Tableau15106[[#This Row],[Date début
''Réception'']]+1)</calculatedColumnFormula>
    </tableColumn>
    <tableColumn id="12" xr3:uid="{3910E00D-423A-494F-9FFC-58CD6E551646}" name="Tranche 1_x000a_import_x000a_nb jour" dataDxfId="25" dataCellStyle="Normal 2">
      <calculatedColumnFormula>IF(Tableau15106[[#This Row],[Nombre
jours
total]]&lt;=F$11,Tableau15106[[#This Row],[Nombre
jours
total]],F$11)</calculatedColumnFormula>
    </tableColumn>
    <tableColumn id="4" xr3:uid="{9D91203D-ADB3-4511-A17E-F528F001F09D}" name="Tranche 1_x000a_Import_x000a_coût" dataDxfId="24" dataCellStyle="Normal 2">
      <calculatedColumnFormula>IFERROR(VLOOKUP(Tableau15106[[#This Row],[Type]],Tableau61112[],3,FALSE)*Tableau15106[[#This Row],[Tranche 1
import
nb jour]]*Tableau15106[[#This Row],[Nombre de 
marchandises]],0)</calculatedColumnFormula>
    </tableColumn>
    <tableColumn id="13" xr3:uid="{C5A9DA5A-9A92-4CD4-8D00-9BF5499B6719}" name="Tranche 2_x000a_import_x000a_nb jour" dataDxfId="23" dataCellStyle="Normal 2">
      <calculatedColumnFormula>IF(AND(Tableau15106[[#This Row],[Nombre
jours
total]]&gt;=G$10,Tableau15106[[#This Row],[Nombre
jours
total]]&lt;=G$11),Tableau15106[[#This Row],[Nombre
jours
total]]-G$10+1,IF(Tableau15106[[#This Row],[Nombre
jours
total]]&lt;G$10,0,IF(Tableau15106[[#This Row],[Nombre
jours
total]]&gt;G$11,G$11-G$10+1)))</calculatedColumnFormula>
    </tableColumn>
    <tableColumn id="5" xr3:uid="{99503BE8-D7C7-4663-A222-1B1F26F06EC5}" name="Tranche 2_x000a_Import_x000a_coût" dataDxfId="22" dataCellStyle="Normal 2">
      <calculatedColumnFormula>IFERROR(VLOOKUP(Tableau15106[[#This Row],[Type]],Tableau61112[],4,FALSE)*Tableau15106[[#This Row],[Tranche 2
import
nb jour]]*Tableau15106[[#This Row],[Nombre de 
marchandises]],0)</calculatedColumnFormula>
    </tableColumn>
    <tableColumn id="14" xr3:uid="{38FE558A-BDE9-4B2F-97EC-349FD9D9716E}" name="Tranche 3_x000a_import_x000a_nb jour" dataDxfId="21" dataCellStyle="Normal 2">
      <calculatedColumnFormula>IF(AND(Tableau15106[[#This Row],[Nombre
jours
total]]&gt;=H$10,Tableau15106[[#This Row],[Nombre
jours
total]]&lt;=H$11),Tableau15106[[#This Row],[Nombre
jours
total]]-H$10+1,IF(Tableau15106[[#This Row],[Nombre
jours
total]]&lt;H$10,0,IF(Tableau15106[[#This Row],[Nombre
jours
total]]&gt;H$11,H$11-H$10+1)))</calculatedColumnFormula>
    </tableColumn>
    <tableColumn id="6" xr3:uid="{94BF44CF-4C31-4B4C-8613-3EBD9863E7F5}" name="Tranche 3_x000a_Import_x000a_coût" dataDxfId="20" dataCellStyle="Normal 2">
      <calculatedColumnFormula>IFERROR(VLOOKUP(Tableau15106[[#This Row],[Type]],Tableau61112[],5,FALSE)*Tableau15106[[#This Row],[Tranche 3
import
nb jour]]*Tableau15106[[#This Row],[Nombre de 
marchandises]],0)</calculatedColumnFormula>
    </tableColumn>
    <tableColumn id="15" xr3:uid="{3286F590-0CB4-4C79-8572-E00E7A136E09}" name="Tranche 4_x000a_import_x000a_nb jour" dataDxfId="19" dataCellStyle="Normal 2">
      <calculatedColumnFormula>IF(AND(Tableau15106[[#This Row],[Nombre
jours
total]]&gt;=I$10,Tableau15106[[#This Row],[Nombre
jours
total]]&lt;=I$11),Tableau15106[[#This Row],[Nombre
jours
total]]-I$10+1,IF(Tableau15106[[#This Row],[Nombre
jours
total]]&lt;I$10,0,IF(Tableau15106[[#This Row],[Nombre
jours
total]]&gt;I$11,I$11-I$10+1)))</calculatedColumnFormula>
    </tableColumn>
    <tableColumn id="7" xr3:uid="{49891719-180E-4CED-8B94-CE486423FACE}" name="Tranche 4_x000a_Import_x000a_coût" dataDxfId="18" dataCellStyle="Normal 2">
      <calculatedColumnFormula>IFERROR(VLOOKUP(Tableau15106[[#This Row],[Type]],Tableau61112[],6,FALSE)*Tableau15106[[#This Row],[Tranche 4
import
nb jour]]*Tableau15106[[#This Row],[Nombre de 
marchandises]],0)</calculatedColumnFormula>
    </tableColumn>
    <tableColumn id="16" xr3:uid="{9BE2963B-FAB5-457D-BEF2-83D966EC5F60}" name="Tranche 5_x000a_import_x000a_nb jour" dataDxfId="17" dataCellStyle="Normal 2">
      <calculatedColumnFormula>IF(AND(Tableau15106[[#This Row],[Nombre
jours
total]]&gt;=J$10,Tableau15106[[#This Row],[Nombre
jours
total]]&lt;=J$11),Tableau15106[[#This Row],[Nombre
jours
total]]-J$10+1,IF(Tableau15106[[#This Row],[Nombre
jours
total]]&lt;J$10,0,IF(Tableau15106[[#This Row],[Nombre
jours
total]]&gt;J$11,J$11-J$10+1)))</calculatedColumnFormula>
    </tableColumn>
    <tableColumn id="8" xr3:uid="{1CAFA819-C80F-49DD-A75B-D41C6035D394}" name="Tranche 5_x000a_Import_x000a_coût" dataDxfId="16" dataCellStyle="Normal 2">
      <calculatedColumnFormula>IFERROR(VLOOKUP(Tableau15106[[#This Row],[Type]],Tableau61112[],7,FALSE)*Tableau15106[[#This Row],[Tranche 5
import
nb jour]]*Tableau15106[[#This Row],[Nombre de 
marchandises]],0)</calculatedColumnFormula>
    </tableColumn>
    <tableColumn id="17" xr3:uid="{9C850B7F-46E1-456C-907F-21A67CF03D69}" name="Tranche 6_x000a_import_x000a_nb jour" dataDxfId="15" dataCellStyle="Normal 2">
      <calculatedColumnFormula>IF(AND(Tableau15106[[#This Row],[Nombre
jours
total]]&gt;=K$10,Tableau15106[[#This Row],[Nombre
jours
total]]&lt;=K$11),Tableau15106[[#This Row],[Nombre
jours
total]]-K$10+1,IF(Tableau15106[[#This Row],[Nombre
jours
total]]&lt;K$10,0,IF(Tableau15106[[#This Row],[Nombre
jours
total]]&gt;K$11,K$11-K$10+1)))</calculatedColumnFormula>
    </tableColumn>
    <tableColumn id="20" xr3:uid="{2FB91251-F1E8-4FE0-9871-1DD27884BCAC}" name="Tranche 6_x000a_Import_x000a_coût" dataDxfId="14" dataCellStyle="Normal 2">
      <calculatedColumnFormula>IFERROR(VLOOKUP(Tableau15106[[#This Row],[Type]],Tableau61112[],8,FALSE)*Tableau15106[[#This Row],[Tranche 6
import
nb jour]]*Tableau15106[[#This Row],[Nombre de 
marchandises]],0)</calculatedColumnFormula>
    </tableColumn>
    <tableColumn id="18" xr3:uid="{33A3E5FF-604F-4C5F-9110-5F2925C5EC1E}" name="Tranche 7_x000a_import_x000a_nb jour" dataDxfId="13" dataCellStyle="Normal 2">
      <calculatedColumnFormula>IF(AND(Tableau15106[[#This Row],[Nombre
jours
total]]&gt;=L$10,Tableau15106[[#This Row],[Nombre
jours
total]]&lt;=L$11),Tableau15106[[#This Row],[Nombre
jours
total]]-L$10+1,IF(Tableau15106[[#This Row],[Nombre
jours
total]]&lt;L$10,0,IF(Tableau15106[[#This Row],[Nombre
jours
total]]&gt;L$11,L$11-L$10+1)))</calculatedColumnFormula>
    </tableColumn>
    <tableColumn id="24" xr3:uid="{ECC5B4B6-EDE6-4BEA-A5DF-D7F7DB794C3C}" name="Tranche 7_x000a_Import_x000a_coût" dataDxfId="12" dataCellStyle="Normal 2">
      <calculatedColumnFormula>IFERROR(VLOOKUP(Tableau15106[[#This Row],[Type]],Tableau61112[],9,FALSE)*Tableau15106[[#This Row],[Tranche 6
import
nb jour]]*Tableau15106[[#This Row],[Nombre de 
marchandises]],0)</calculatedColumnFormula>
    </tableColumn>
    <tableColumn id="26" xr3:uid="{F18AE51A-D365-45ED-B8D6-7E81C6225862}" name="Total_x000a_Stationnement" dataDxfId="11" dataCellStyle="Normal 2">
      <calculatedColumnFormula>+Tableau15106[[#This Row],[Tranche 7
Import
coût]]+Tableau15106[[#This Row],[Tranche 6
Import
coût]]+Tableau15106[[#This Row],[Tranche 5
Import
coût]]+Tableau15106[[#This Row],[Tranche 4
Import
coût]]+Tableau15106[[#This Row],[Tranche 3
Import
coût]]+Tableau15106[[#This Row],[Tranche 2
Import
coût]]+Tableau15106[[#This Row],[Tranche 1
Import
coût]]</calculatedColumnFormula>
    </tableColumn>
  </tableColumns>
  <tableStyleInfo name="TableStyleMedium16" showFirstColumn="0"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11DE9F5D-D7EC-4802-B5AB-98C45606CA84}" name="Tableau61112" displayName="Tableau61112" ref="D6:L12" totalsRowShown="0" headerRowDxfId="10" dataDxfId="9" dataCellStyle="Normal 2">
  <autoFilter ref="D6:L12" xr:uid="{A6973159-7BFD-4030-9BB4-4D83ADE3DCBF}"/>
  <tableColumns count="9">
    <tableColumn id="14" xr3:uid="{B99374AD-E1AC-4A89-8D8E-3E1143A43FB9}" name="Type" dataDxfId="8" dataCellStyle="Normal 2"/>
    <tableColumn id="13" xr3:uid="{08A7E1B2-EF8F-4293-8C37-E94630ABD2AF}" name="Type2" dataDxfId="7" dataCellStyle="Normal 2"/>
    <tableColumn id="3" xr3:uid="{A19F07EE-B0C1-4802-83DE-79EF3660E51C}" name="tranche 1" dataDxfId="6" dataCellStyle="Normal 2"/>
    <tableColumn id="4" xr3:uid="{72AA95EE-629C-4597-BF44-7A35DB6C556B}" name="tranche 2" dataDxfId="5" dataCellStyle="Normal 2"/>
    <tableColumn id="5" xr3:uid="{F4484F31-5311-4869-9FB3-8CD444C37D9B}" name="tranche 3" dataDxfId="4" dataCellStyle="Normal 2"/>
    <tableColumn id="6" xr3:uid="{F0FC8FD2-C440-41D6-B599-51194579714E}" name="tranche 4" dataDxfId="3" dataCellStyle="Normal 2"/>
    <tableColumn id="7" xr3:uid="{E06DB886-A90D-45C6-9333-8E9D00591797}" name="tranche 5" dataDxfId="2" dataCellStyle="Normal 2"/>
    <tableColumn id="8" xr3:uid="{A0EABF22-ADCC-43DB-BBAA-EF7EBC0B1466}" name="tranche 6" dataDxfId="1" dataCellStyle="Normal 2"/>
    <tableColumn id="9" xr3:uid="{EE14E3E0-5105-4DA5-AFE1-39040172A1D2}" name="tranche 7" dataDxfId="0" dataCellStyle="Normal 2"/>
  </tableColumns>
  <tableStyleInfo name="TableStyleMedium16" showFirstColumn="0" showLastColumn="0" showRowStripes="1" showColumnStripes="0"/>
</table>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table" Target="../tables/table2.xml"/><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3" Type="http://schemas.openxmlformats.org/officeDocument/2006/relationships/table" Target="../tables/table5.xml"/><Relationship Id="rId2" Type="http://schemas.openxmlformats.org/officeDocument/2006/relationships/table" Target="../tables/table4.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table" Target="../tables/table7.xml"/><Relationship Id="rId2" Type="http://schemas.openxmlformats.org/officeDocument/2006/relationships/table" Target="../tables/table6.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table" Target="../tables/table9.xml"/><Relationship Id="rId2" Type="http://schemas.openxmlformats.org/officeDocument/2006/relationships/table" Target="../tables/table8.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3" Type="http://schemas.openxmlformats.org/officeDocument/2006/relationships/table" Target="../tables/table11.xml"/><Relationship Id="rId2" Type="http://schemas.openxmlformats.org/officeDocument/2006/relationships/table" Target="../tables/table10.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3" Type="http://schemas.openxmlformats.org/officeDocument/2006/relationships/table" Target="../tables/table13.xml"/><Relationship Id="rId2" Type="http://schemas.openxmlformats.org/officeDocument/2006/relationships/table" Target="../tables/table12.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3" Type="http://schemas.openxmlformats.org/officeDocument/2006/relationships/table" Target="../tables/table15.xml"/><Relationship Id="rId2" Type="http://schemas.openxmlformats.org/officeDocument/2006/relationships/table" Target="../tables/table14.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3" Type="http://schemas.openxmlformats.org/officeDocument/2006/relationships/table" Target="../tables/table17.xml"/><Relationship Id="rId2" Type="http://schemas.openxmlformats.org/officeDocument/2006/relationships/table" Target="../tables/table16.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3" Type="http://schemas.openxmlformats.org/officeDocument/2006/relationships/table" Target="../tables/table19.xml"/><Relationship Id="rId2" Type="http://schemas.openxmlformats.org/officeDocument/2006/relationships/table" Target="../tables/table18.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CA85B6-DFCB-4E9A-8A78-17100EBA3B9A}">
  <sheetPr>
    <tabColor theme="1"/>
  </sheetPr>
  <dimension ref="A1:E8"/>
  <sheetViews>
    <sheetView showGridLines="0" workbookViewId="0">
      <selection activeCell="G29" sqref="G29"/>
    </sheetView>
  </sheetViews>
  <sheetFormatPr baseColWidth="10" defaultColWidth="11.42578125" defaultRowHeight="15" x14ac:dyDescent="0.25"/>
  <cols>
    <col min="1" max="1" width="11.5703125" customWidth="1"/>
    <col min="5" max="5" width="14.5703125" customWidth="1"/>
  </cols>
  <sheetData>
    <row r="1" spans="1:5" x14ac:dyDescent="0.25">
      <c r="A1" t="s">
        <v>0</v>
      </c>
      <c r="C1" s="1" t="s">
        <v>1</v>
      </c>
      <c r="E1" t="s">
        <v>2</v>
      </c>
    </row>
    <row r="2" spans="1:5" x14ac:dyDescent="0.25">
      <c r="A2" t="s">
        <v>3</v>
      </c>
      <c r="C2" t="s">
        <v>4</v>
      </c>
      <c r="E2" s="32" t="s">
        <v>5</v>
      </c>
    </row>
    <row r="3" spans="1:5" x14ac:dyDescent="0.25">
      <c r="A3" t="s">
        <v>6</v>
      </c>
      <c r="C3" t="s">
        <v>7</v>
      </c>
      <c r="E3" s="33" t="s">
        <v>8</v>
      </c>
    </row>
    <row r="4" spans="1:5" x14ac:dyDescent="0.25">
      <c r="A4" t="s">
        <v>9</v>
      </c>
      <c r="E4" t="s">
        <v>10</v>
      </c>
    </row>
    <row r="6" spans="1:5" x14ac:dyDescent="0.25">
      <c r="A6" t="s">
        <v>5</v>
      </c>
    </row>
    <row r="7" spans="1:5" x14ac:dyDescent="0.25">
      <c r="A7" t="s">
        <v>8</v>
      </c>
    </row>
    <row r="8" spans="1:5" x14ac:dyDescent="0.25">
      <c r="A8" t="s">
        <v>10</v>
      </c>
    </row>
  </sheetData>
  <pageMargins left="0.7" right="0.7" top="0.75" bottom="0.75" header="0.3" footer="0.3"/>
  <tableParts count="3">
    <tablePart r:id="rId1"/>
    <tablePart r:id="rId2"/>
    <tablePart r:id="rId3"/>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00CCCD-2956-4357-BDCD-488803AC66DE}">
  <sheetPr>
    <tabColor theme="9"/>
    <pageSetUpPr fitToPage="1"/>
  </sheetPr>
  <dimension ref="A1:Z22"/>
  <sheetViews>
    <sheetView showGridLines="0" showZeros="0" tabSelected="1" zoomScale="85" zoomScaleNormal="85" workbookViewId="0">
      <pane xSplit="6" ySplit="4" topLeftCell="G5" activePane="bottomRight" state="frozen"/>
      <selection activeCell="D33" sqref="D33"/>
      <selection pane="topRight" activeCell="D33" sqref="D33"/>
      <selection pane="bottomLeft" activeCell="D33" sqref="D33"/>
      <selection pane="bottomRight" activeCell="C38" sqref="C38"/>
    </sheetView>
  </sheetViews>
  <sheetFormatPr baseColWidth="10" defaultColWidth="11.42578125" defaultRowHeight="15" x14ac:dyDescent="0.25"/>
  <cols>
    <col min="1" max="1" width="16.42578125" style="17" customWidth="1"/>
    <col min="2" max="2" width="10.7109375" style="17" bestFit="1" customWidth="1"/>
    <col min="3" max="3" width="14" style="17" bestFit="1" customWidth="1"/>
    <col min="4" max="4" width="19" style="17" bestFit="1" customWidth="1"/>
    <col min="5" max="5" width="13.140625" style="17" bestFit="1" customWidth="1"/>
    <col min="6" max="6" width="14.140625" style="2" hidden="1" customWidth="1"/>
    <col min="7" max="7" width="12.42578125" style="2" bestFit="1" customWidth="1"/>
    <col min="8" max="13" width="12.85546875" style="2" bestFit="1" customWidth="1"/>
    <col min="14" max="14" width="12.85546875" style="3" bestFit="1" customWidth="1"/>
    <col min="15" max="23" width="12.85546875" style="2" bestFit="1" customWidth="1"/>
    <col min="24" max="24" width="20.5703125" style="2" customWidth="1"/>
    <col min="25" max="25" width="14.28515625" style="2" hidden="1" customWidth="1"/>
    <col min="26" max="16384" width="11.42578125" style="2"/>
  </cols>
  <sheetData>
    <row r="1" spans="1:25" ht="24" x14ac:dyDescent="0.25">
      <c r="A1" s="40" t="s">
        <v>11</v>
      </c>
      <c r="B1" s="40"/>
      <c r="C1" s="40"/>
      <c r="D1" s="40"/>
      <c r="E1" s="40"/>
      <c r="F1" s="40"/>
      <c r="G1" s="40"/>
      <c r="H1" s="40"/>
      <c r="I1" s="40"/>
      <c r="J1" s="40"/>
      <c r="K1" s="40"/>
      <c r="L1" s="40"/>
      <c r="M1" s="40"/>
      <c r="N1" s="40"/>
      <c r="O1" s="40"/>
      <c r="P1" s="40"/>
      <c r="Q1" s="40"/>
      <c r="R1" s="40"/>
      <c r="S1" s="40"/>
      <c r="T1" s="40"/>
      <c r="U1" s="40"/>
      <c r="V1" s="40"/>
      <c r="W1" s="40"/>
      <c r="X1" s="40"/>
      <c r="Y1" s="40"/>
    </row>
    <row r="2" spans="1:25" ht="24" x14ac:dyDescent="0.25">
      <c r="A2" s="40" t="s">
        <v>89</v>
      </c>
      <c r="B2" s="40"/>
      <c r="C2" s="40"/>
      <c r="D2" s="40"/>
      <c r="E2" s="40"/>
      <c r="F2" s="40"/>
      <c r="G2" s="40"/>
      <c r="H2" s="40"/>
      <c r="I2" s="40"/>
      <c r="J2" s="40"/>
      <c r="K2" s="40"/>
      <c r="L2" s="40"/>
      <c r="M2" s="40"/>
      <c r="N2" s="40"/>
      <c r="O2" s="40"/>
      <c r="P2" s="40"/>
      <c r="Q2" s="40"/>
      <c r="R2" s="40"/>
      <c r="S2" s="40"/>
      <c r="T2" s="40"/>
      <c r="U2" s="40"/>
      <c r="V2" s="40"/>
      <c r="W2" s="40"/>
      <c r="X2" s="40"/>
      <c r="Y2" s="40"/>
    </row>
    <row r="3" spans="1:25" ht="24" x14ac:dyDescent="0.25">
      <c r="A3" s="41" t="s">
        <v>13</v>
      </c>
      <c r="B3" s="41"/>
      <c r="C3" s="41"/>
      <c r="D3" s="41"/>
      <c r="E3" s="41"/>
      <c r="F3" s="41"/>
      <c r="G3" s="41"/>
      <c r="H3" s="41"/>
      <c r="I3" s="41"/>
      <c r="J3" s="41"/>
      <c r="K3" s="41"/>
      <c r="L3" s="41"/>
      <c r="M3" s="41"/>
      <c r="N3" s="41"/>
      <c r="O3" s="41"/>
      <c r="P3" s="41"/>
      <c r="Q3" s="41"/>
      <c r="R3" s="41"/>
      <c r="S3" s="41"/>
      <c r="T3" s="41"/>
      <c r="U3" s="41"/>
      <c r="V3" s="41"/>
      <c r="W3" s="41"/>
      <c r="X3" s="41"/>
      <c r="Y3" s="41"/>
    </row>
    <row r="4" spans="1:25" ht="37.5" customHeight="1" x14ac:dyDescent="0.25">
      <c r="A4" s="42" t="s">
        <v>14</v>
      </c>
      <c r="B4" s="42"/>
      <c r="C4" s="42"/>
      <c r="D4" s="42"/>
      <c r="E4" s="42"/>
      <c r="F4" s="42"/>
      <c r="G4" s="42"/>
      <c r="H4" s="42"/>
      <c r="I4" s="42"/>
      <c r="J4" s="42"/>
      <c r="K4" s="42"/>
      <c r="L4" s="42"/>
      <c r="M4" s="42"/>
      <c r="N4" s="42"/>
      <c r="O4" s="42"/>
      <c r="P4" s="42"/>
      <c r="Q4" s="42"/>
      <c r="R4" s="42"/>
      <c r="S4" s="42"/>
      <c r="T4" s="42"/>
      <c r="U4" s="42"/>
      <c r="V4" s="42"/>
      <c r="W4" s="42"/>
      <c r="X4" s="42"/>
      <c r="Y4" s="42"/>
    </row>
    <row r="5" spans="1:25" x14ac:dyDescent="0.25">
      <c r="A5" s="2"/>
      <c r="B5" s="2"/>
      <c r="C5" s="2"/>
      <c r="D5" s="2"/>
      <c r="E5" s="2"/>
    </row>
    <row r="6" spans="1:25" x14ac:dyDescent="0.25">
      <c r="A6" s="2"/>
      <c r="B6" s="2"/>
      <c r="C6" s="2"/>
      <c r="D6" s="7" t="s">
        <v>15</v>
      </c>
      <c r="E6" s="7" t="s">
        <v>16</v>
      </c>
      <c r="F6" s="2" t="s">
        <v>17</v>
      </c>
      <c r="G6" s="2" t="s">
        <v>18</v>
      </c>
      <c r="H6" s="2" t="s">
        <v>19</v>
      </c>
      <c r="I6" s="2" t="s">
        <v>20</v>
      </c>
      <c r="J6" s="2" t="s">
        <v>21</v>
      </c>
      <c r="K6" s="2" t="s">
        <v>22</v>
      </c>
      <c r="L6" s="2" t="s">
        <v>23</v>
      </c>
      <c r="M6" s="2" t="s">
        <v>24</v>
      </c>
      <c r="N6" s="2" t="s">
        <v>25</v>
      </c>
    </row>
    <row r="7" spans="1:25" x14ac:dyDescent="0.25">
      <c r="A7" s="2"/>
      <c r="B7" s="2"/>
      <c r="C7" s="2"/>
      <c r="D7" s="8" t="s">
        <v>3</v>
      </c>
      <c r="E7" s="8"/>
      <c r="F7" s="8" t="s">
        <v>3</v>
      </c>
      <c r="G7" s="37" t="s">
        <v>26</v>
      </c>
      <c r="H7" s="10">
        <v>29.2</v>
      </c>
      <c r="I7" s="10">
        <v>23.26</v>
      </c>
      <c r="J7" s="10">
        <v>40.56</v>
      </c>
      <c r="K7" s="10">
        <v>51.91</v>
      </c>
      <c r="L7" s="10">
        <v>75.17</v>
      </c>
      <c r="M7" s="10">
        <v>86.52</v>
      </c>
      <c r="N7" s="10">
        <v>109.78</v>
      </c>
      <c r="Q7" s="5"/>
      <c r="W7" s="4"/>
    </row>
    <row r="8" spans="1:25" x14ac:dyDescent="0.25">
      <c r="A8" s="2"/>
      <c r="B8" s="2"/>
      <c r="C8" s="2"/>
      <c r="D8" s="8" t="s">
        <v>3</v>
      </c>
      <c r="E8" s="8" t="s">
        <v>27</v>
      </c>
      <c r="F8" s="8" t="s">
        <v>28</v>
      </c>
      <c r="G8" s="37" t="s">
        <v>26</v>
      </c>
      <c r="H8" s="10">
        <f>+H7*2</f>
        <v>58.4</v>
      </c>
      <c r="I8" s="10">
        <f t="shared" ref="I8:N8" si="0">+I7*2</f>
        <v>46.52</v>
      </c>
      <c r="J8" s="10">
        <f t="shared" si="0"/>
        <v>81.12</v>
      </c>
      <c r="K8" s="10">
        <f t="shared" si="0"/>
        <v>103.82</v>
      </c>
      <c r="L8" s="10">
        <f t="shared" si="0"/>
        <v>150.34</v>
      </c>
      <c r="M8" s="10">
        <f t="shared" si="0"/>
        <v>173.04</v>
      </c>
      <c r="N8" s="10">
        <f t="shared" si="0"/>
        <v>219.56</v>
      </c>
      <c r="W8" s="4"/>
    </row>
    <row r="9" spans="1:25" x14ac:dyDescent="0.25">
      <c r="A9" s="2"/>
      <c r="B9" s="2"/>
      <c r="C9" s="2"/>
      <c r="D9" s="8" t="s">
        <v>6</v>
      </c>
      <c r="E9" s="8"/>
      <c r="F9" s="8" t="s">
        <v>6</v>
      </c>
      <c r="G9" s="37" t="s">
        <v>26</v>
      </c>
      <c r="H9" s="10">
        <v>46.5</v>
      </c>
      <c r="I9" s="10">
        <v>40.56</v>
      </c>
      <c r="J9" s="10">
        <v>51.91</v>
      </c>
      <c r="K9" s="10">
        <v>86.52</v>
      </c>
      <c r="L9" s="10">
        <v>115.18</v>
      </c>
      <c r="M9" s="10">
        <v>132.49</v>
      </c>
      <c r="N9" s="10">
        <v>173.04</v>
      </c>
      <c r="W9" s="4"/>
    </row>
    <row r="10" spans="1:25" x14ac:dyDescent="0.25">
      <c r="A10" s="2"/>
      <c r="B10" s="2"/>
      <c r="C10" s="2"/>
      <c r="D10" s="8" t="s">
        <v>6</v>
      </c>
      <c r="E10" s="8" t="s">
        <v>27</v>
      </c>
      <c r="F10" s="8" t="s">
        <v>29</v>
      </c>
      <c r="G10" s="37" t="s">
        <v>26</v>
      </c>
      <c r="H10" s="10">
        <f>+H9*2</f>
        <v>93</v>
      </c>
      <c r="I10" s="10">
        <f t="shared" ref="I10:N10" si="1">+I9*2</f>
        <v>81.12</v>
      </c>
      <c r="J10" s="10">
        <f t="shared" si="1"/>
        <v>103.82</v>
      </c>
      <c r="K10" s="10">
        <f t="shared" si="1"/>
        <v>173.04</v>
      </c>
      <c r="L10" s="10">
        <f t="shared" si="1"/>
        <v>230.36</v>
      </c>
      <c r="M10" s="10">
        <f t="shared" si="1"/>
        <v>264.98</v>
      </c>
      <c r="N10" s="10">
        <f t="shared" si="1"/>
        <v>346.08</v>
      </c>
      <c r="W10" s="4"/>
    </row>
    <row r="11" spans="1:25" x14ac:dyDescent="0.25">
      <c r="A11" s="2"/>
      <c r="B11" s="2"/>
      <c r="C11" s="2"/>
      <c r="D11" s="8" t="s">
        <v>9</v>
      </c>
      <c r="E11" s="8"/>
      <c r="F11" s="8" t="s">
        <v>9</v>
      </c>
      <c r="G11" s="37" t="s">
        <v>26</v>
      </c>
      <c r="H11" s="10">
        <v>52.31</v>
      </c>
      <c r="I11" s="10">
        <v>45.63</v>
      </c>
      <c r="J11" s="10">
        <v>58.4</v>
      </c>
      <c r="K11" s="10">
        <v>97.34</v>
      </c>
      <c r="L11" s="10">
        <v>129.57</v>
      </c>
      <c r="M11" s="10">
        <v>149.04</v>
      </c>
      <c r="N11" s="10">
        <v>194.67</v>
      </c>
      <c r="W11" s="4"/>
    </row>
    <row r="12" spans="1:25" x14ac:dyDescent="0.25">
      <c r="A12" s="2"/>
      <c r="B12" s="2"/>
      <c r="C12" s="2"/>
      <c r="D12" s="8" t="s">
        <v>9</v>
      </c>
      <c r="E12" s="8" t="s">
        <v>27</v>
      </c>
      <c r="F12" s="8" t="s">
        <v>30</v>
      </c>
      <c r="G12" s="37" t="s">
        <v>26</v>
      </c>
      <c r="H12" s="10">
        <f>+H11*2</f>
        <v>104.62</v>
      </c>
      <c r="I12" s="10">
        <f t="shared" ref="I12:N12" si="2">+I11*2</f>
        <v>91.26</v>
      </c>
      <c r="J12" s="10">
        <f t="shared" si="2"/>
        <v>116.8</v>
      </c>
      <c r="K12" s="10">
        <f t="shared" si="2"/>
        <v>194.68</v>
      </c>
      <c r="L12" s="10">
        <f t="shared" si="2"/>
        <v>259.14</v>
      </c>
      <c r="M12" s="10">
        <f t="shared" si="2"/>
        <v>298.08</v>
      </c>
      <c r="N12" s="10">
        <f t="shared" si="2"/>
        <v>389.34</v>
      </c>
      <c r="W12" s="4"/>
    </row>
    <row r="13" spans="1:25" x14ac:dyDescent="0.25">
      <c r="A13" s="2"/>
      <c r="B13" s="2"/>
      <c r="C13" s="2"/>
      <c r="D13" s="16" t="s">
        <v>31</v>
      </c>
      <c r="E13" s="11"/>
      <c r="F13" s="11"/>
      <c r="G13" s="6">
        <v>0</v>
      </c>
      <c r="H13" s="6">
        <f>+G14+1</f>
        <v>6</v>
      </c>
      <c r="I13" s="6">
        <f>+H14+1</f>
        <v>7</v>
      </c>
      <c r="J13" s="6">
        <f t="shared" ref="J13:M13" si="3">+I14+1</f>
        <v>9</v>
      </c>
      <c r="K13" s="6">
        <f t="shared" si="3"/>
        <v>12</v>
      </c>
      <c r="L13" s="6">
        <f t="shared" si="3"/>
        <v>16</v>
      </c>
      <c r="M13" s="6">
        <f t="shared" si="3"/>
        <v>22</v>
      </c>
      <c r="N13" s="6">
        <f>+M14+1</f>
        <v>91</v>
      </c>
      <c r="W13" s="4"/>
    </row>
    <row r="14" spans="1:25" x14ac:dyDescent="0.25">
      <c r="A14" s="2"/>
      <c r="B14" s="2"/>
      <c r="C14" s="2"/>
      <c r="D14" s="16" t="s">
        <v>32</v>
      </c>
      <c r="E14" s="11"/>
      <c r="F14" s="11"/>
      <c r="G14" s="6">
        <v>5</v>
      </c>
      <c r="H14" s="6">
        <v>6</v>
      </c>
      <c r="I14" s="6">
        <v>8</v>
      </c>
      <c r="J14" s="6">
        <v>11</v>
      </c>
      <c r="K14" s="6">
        <v>15</v>
      </c>
      <c r="L14" s="6">
        <v>21</v>
      </c>
      <c r="M14" s="6">
        <v>90</v>
      </c>
      <c r="N14" s="14">
        <v>999999</v>
      </c>
      <c r="W14" s="4"/>
    </row>
    <row r="15" spans="1:25" x14ac:dyDescent="0.25">
      <c r="A15" s="2"/>
      <c r="B15" s="2"/>
      <c r="C15" s="2"/>
      <c r="D15" s="8" t="s">
        <v>33</v>
      </c>
      <c r="E15" s="8"/>
      <c r="F15" s="8"/>
      <c r="G15" s="6">
        <f>+G14</f>
        <v>5</v>
      </c>
      <c r="H15" s="6">
        <f>+H14-H13+1</f>
        <v>1</v>
      </c>
      <c r="I15" s="6">
        <f t="shared" ref="I15:L15" si="4">+I14-I13+1</f>
        <v>2</v>
      </c>
      <c r="J15" s="6">
        <f t="shared" si="4"/>
        <v>3</v>
      </c>
      <c r="K15" s="6">
        <f t="shared" si="4"/>
        <v>4</v>
      </c>
      <c r="L15" s="6">
        <f t="shared" si="4"/>
        <v>6</v>
      </c>
      <c r="M15" s="6">
        <f>+M14-M13+1</f>
        <v>69</v>
      </c>
      <c r="N15" s="15">
        <f>+N14-N13+1</f>
        <v>999909</v>
      </c>
      <c r="W15" s="4"/>
    </row>
    <row r="16" spans="1:25" x14ac:dyDescent="0.25">
      <c r="A16" s="2"/>
      <c r="B16" s="2"/>
      <c r="C16" s="2"/>
      <c r="D16" s="2" t="s">
        <v>90</v>
      </c>
      <c r="E16" s="2"/>
      <c r="G16" s="4"/>
      <c r="H16" s="6"/>
      <c r="I16" s="6"/>
      <c r="J16" s="6"/>
      <c r="K16" s="6"/>
      <c r="L16" s="6"/>
      <c r="M16" s="6"/>
      <c r="N16" s="6"/>
      <c r="O16" s="6"/>
      <c r="V16" s="4"/>
    </row>
    <row r="17" spans="1:26" x14ac:dyDescent="0.25">
      <c r="A17" s="39" t="s">
        <v>34</v>
      </c>
      <c r="B17" s="39"/>
      <c r="C17" s="39"/>
      <c r="D17" s="39"/>
      <c r="E17" s="39"/>
      <c r="F17" s="39"/>
      <c r="G17" s="39"/>
      <c r="H17" s="39"/>
      <c r="I17" s="39"/>
      <c r="J17" s="39"/>
      <c r="K17" s="39"/>
      <c r="L17" s="39"/>
      <c r="M17" s="39"/>
      <c r="N17" s="39"/>
      <c r="O17" s="12"/>
      <c r="P17" s="12"/>
      <c r="Q17" s="12"/>
      <c r="R17" s="12"/>
      <c r="S17" s="12"/>
      <c r="T17" s="12"/>
      <c r="U17" s="12"/>
      <c r="V17" s="12"/>
      <c r="W17" s="12"/>
      <c r="X17" s="12"/>
      <c r="Y17" s="12"/>
    </row>
    <row r="18" spans="1:26" ht="15.75" thickBot="1" x14ac:dyDescent="0.3">
      <c r="A18" s="39" t="s">
        <v>35</v>
      </c>
      <c r="B18" s="39"/>
      <c r="C18" s="39"/>
      <c r="D18" s="39"/>
      <c r="E18" s="39"/>
      <c r="F18" s="39"/>
      <c r="G18" s="39"/>
      <c r="H18" s="39"/>
      <c r="I18" s="39"/>
      <c r="J18" s="39"/>
      <c r="K18" s="39"/>
      <c r="L18" s="39"/>
      <c r="M18" s="39"/>
      <c r="N18" s="39"/>
      <c r="O18" s="12"/>
      <c r="P18" s="12"/>
      <c r="Q18" s="12"/>
      <c r="R18" s="12"/>
      <c r="S18" s="12"/>
      <c r="T18" s="12"/>
      <c r="U18" s="12"/>
      <c r="V18" s="12"/>
      <c r="W18" s="12"/>
      <c r="Y18" s="12"/>
    </row>
    <row r="19" spans="1:26" ht="30.75" thickTop="1" x14ac:dyDescent="0.25">
      <c r="A19" s="13" t="s">
        <v>36</v>
      </c>
      <c r="B19" s="12"/>
      <c r="C19" s="12"/>
      <c r="D19" s="12"/>
      <c r="E19" s="12"/>
      <c r="F19" s="12"/>
      <c r="G19" s="12"/>
      <c r="H19" s="12"/>
      <c r="I19" s="12"/>
      <c r="J19" s="12"/>
      <c r="K19" s="12"/>
      <c r="L19" s="12"/>
      <c r="M19" s="12"/>
      <c r="N19" s="12"/>
      <c r="O19" s="12"/>
      <c r="P19" s="12"/>
      <c r="Q19" s="12"/>
      <c r="R19" s="12"/>
      <c r="S19" s="12"/>
      <c r="T19" s="12"/>
      <c r="U19" s="12"/>
      <c r="V19" s="12"/>
      <c r="W19" s="12"/>
      <c r="Y19" s="12"/>
    </row>
    <row r="20" spans="1:26" ht="22.5" customHeight="1" x14ac:dyDescent="0.25">
      <c r="A20" s="18">
        <f>SUBTOTAL(9,Tableau1513[Total
Stationnement])</f>
        <v>0</v>
      </c>
      <c r="B20" s="2"/>
      <c r="C20" s="2"/>
      <c r="D20" s="2"/>
      <c r="E20" s="2"/>
      <c r="G20" s="4"/>
      <c r="H20" s="6"/>
      <c r="I20" s="6"/>
      <c r="J20" s="6"/>
      <c r="K20" s="6"/>
      <c r="L20" s="6"/>
      <c r="M20" s="6"/>
      <c r="N20" s="6"/>
      <c r="O20" s="6"/>
      <c r="V20" s="4"/>
    </row>
    <row r="21" spans="1:26" s="25" customFormat="1" ht="56.25" customHeight="1" x14ac:dyDescent="0.25">
      <c r="A21" s="19" t="s">
        <v>37</v>
      </c>
      <c r="B21" s="20" t="s">
        <v>15</v>
      </c>
      <c r="C21" s="20" t="s">
        <v>38</v>
      </c>
      <c r="D21" s="19" t="s">
        <v>39</v>
      </c>
      <c r="E21" s="19" t="s">
        <v>40</v>
      </c>
      <c r="F21" s="21" t="s">
        <v>17</v>
      </c>
      <c r="G21" s="22" t="s">
        <v>41</v>
      </c>
      <c r="H21" s="23" t="s">
        <v>42</v>
      </c>
      <c r="I21" s="24" t="s">
        <v>43</v>
      </c>
      <c r="J21" s="23" t="s">
        <v>44</v>
      </c>
      <c r="K21" s="24" t="s">
        <v>45</v>
      </c>
      <c r="L21" s="23" t="s">
        <v>46</v>
      </c>
      <c r="M21" s="24" t="s">
        <v>47</v>
      </c>
      <c r="N21" s="23" t="s">
        <v>48</v>
      </c>
      <c r="O21" s="24" t="s">
        <v>49</v>
      </c>
      <c r="P21" s="23" t="s">
        <v>50</v>
      </c>
      <c r="Q21" s="24" t="s">
        <v>51</v>
      </c>
      <c r="R21" s="23" t="s">
        <v>52</v>
      </c>
      <c r="S21" s="24" t="s">
        <v>53</v>
      </c>
      <c r="T21" s="23" t="s">
        <v>54</v>
      </c>
      <c r="U21" s="24" t="s">
        <v>55</v>
      </c>
      <c r="V21" s="23" t="s">
        <v>56</v>
      </c>
      <c r="W21" s="24" t="s">
        <v>57</v>
      </c>
      <c r="X21" s="22" t="s">
        <v>58</v>
      </c>
      <c r="Y21" s="21" t="s">
        <v>59</v>
      </c>
      <c r="Z21" s="2"/>
    </row>
    <row r="22" spans="1:26" x14ac:dyDescent="0.25">
      <c r="B22" s="26"/>
      <c r="C22" s="27"/>
      <c r="D22" s="28"/>
      <c r="E22" s="28"/>
      <c r="F22" s="4">
        <f>IF(OR(Tableau1513[[#This Row],[Type
OH/DGX]]="DGX",Tableau1513[[#This Row],[Type
OH/DGX]]="OH"),CONCATENATE(Tableau1513[[#This Row],[Taille]]," ohdgx"),Tableau1513[[#This Row],[Taille]])</f>
        <v>0</v>
      </c>
      <c r="G22" s="3">
        <f>IF(Tableau1513[[#This Row],[Nombre de 
conteneur]]=0,0,Tableau1513[[#This Row],[Date fin
''Livraison'']]-Tableau1513[[#This Row],[Date début
''Débarquement'']]+1)</f>
        <v>0</v>
      </c>
      <c r="H22" s="29">
        <f>IF(Tableau1513[[#This Row],[Nombre
jours
total]]&lt;=G$14,Tableau1513[[#This Row],[Nombre
jours
total]],G$14)</f>
        <v>0</v>
      </c>
      <c r="I22" s="30">
        <f>IFERROR(VLOOKUP(Tableau1513[[#This Row],[20/40OH]],Tableau614[[20/40OH]:[tranche 8]],2,FALSE)*Tableau1513[[#This Row],[Tranche 1
import
nb jour]]*Tableau1513[[#This Row],[Nombre de 
conteneur]],0)</f>
        <v>0</v>
      </c>
      <c r="J22" s="29">
        <f>IF(AND(Tableau1513[[#This Row],[Nombre
jours
total]]&gt;=H$13,Tableau1513[[#This Row],[Nombre
jours
total]]&lt;=H$14),Tableau1513[[#This Row],[Nombre
jours
total]]-H$13+1,IF(Tableau1513[[#This Row],[Nombre
jours
total]]&lt;H$13,0,IF(Tableau1513[[#This Row],[Nombre
jours
total]]&gt;H$14,H$14-H$13+1)))</f>
        <v>0</v>
      </c>
      <c r="K22" s="31">
        <f>IFERROR(VLOOKUP(Tableau1513[[#This Row],[20/40OH]],Tableau614[[20/40OH]:[tranche 8]],3,FALSE)*Tableau1513[[#This Row],[Tranche 2
import
nb jour]]*Tableau1513[[#This Row],[Nombre de 
conteneur]],0)</f>
        <v>0</v>
      </c>
      <c r="L22" s="29">
        <f>IF(AND(Tableau1513[[#This Row],[Nombre
jours
total]]&gt;=I$13,Tableau1513[[#This Row],[Nombre
jours
total]]&lt;=I$14),Tableau1513[[#This Row],[Nombre
jours
total]]-I$13+1,IF(Tableau1513[[#This Row],[Nombre
jours
total]]&lt;I$13,0,IF(Tableau1513[[#This Row],[Nombre
jours
total]]&gt;I$14,I$14-I$13+1)))</f>
        <v>0</v>
      </c>
      <c r="M22" s="31">
        <f>IFERROR(VLOOKUP(Tableau1513[[#This Row],[20/40OH]],Tableau614[[20/40OH]:[tranche 8]],4,FALSE)*Tableau1513[[#This Row],[Tranche 3
import
nb jour]]*Tableau1513[[#This Row],[Nombre de 
conteneur]],0)</f>
        <v>0</v>
      </c>
      <c r="N22" s="29">
        <f>IF(AND(Tableau1513[[#This Row],[Nombre
jours
total]]&gt;=J$13,Tableau1513[[#This Row],[Nombre
jours
total]]&lt;=J$14),Tableau1513[[#This Row],[Nombre
jours
total]]-J$13+1,IF(Tableau1513[[#This Row],[Nombre
jours
total]]&lt;J$13,0,IF(Tableau1513[[#This Row],[Nombre
jours
total]]&gt;J$14,J$14-J$13+1)))</f>
        <v>0</v>
      </c>
      <c r="O22" s="31">
        <f>IFERROR(VLOOKUP(Tableau1513[[#This Row],[20/40OH]],Tableau614[[20/40OH]:[tranche 8]],5,FALSE)*Tableau1513[[#This Row],[Tranche 4
import
nb jour]]*Tableau1513[[#This Row],[Nombre de 
conteneur]],0)</f>
        <v>0</v>
      </c>
      <c r="P22" s="29">
        <f>IF(AND(Tableau1513[[#This Row],[Nombre
jours
total]]&gt;=K$13,Tableau1513[[#This Row],[Nombre
jours
total]]&lt;=K$14),Tableau1513[[#This Row],[Nombre
jours
total]]-K$13+1,IF(Tableau1513[[#This Row],[Nombre
jours
total]]&lt;K$13,0,IF(Tableau1513[[#This Row],[Nombre
jours
total]]&gt;K$14,K$14-K$13+1)))</f>
        <v>0</v>
      </c>
      <c r="Q22" s="31">
        <f>IFERROR(VLOOKUP(Tableau1513[[#This Row],[20/40OH]],Tableau614[[20/40OH]:[tranche 8]],6,FALSE)*Tableau1513[[#This Row],[Tranche 5
import
nb jour]]*Tableau1513[[#This Row],[Nombre de 
conteneur]],0)</f>
        <v>0</v>
      </c>
      <c r="R22" s="29">
        <f>IF(AND(Tableau1513[[#This Row],[Nombre
jours
total]]&gt;=L$13,Tableau1513[[#This Row],[Nombre
jours
total]]&lt;=L$14),Tableau1513[[#This Row],[Nombre
jours
total]]-L$13+1,IF(Tableau1513[[#This Row],[Nombre
jours
total]]&lt;L$13,0,IF(Tableau1513[[#This Row],[Nombre
jours
total]]&gt;L$14,L$14-L$13+1)))</f>
        <v>0</v>
      </c>
      <c r="S22" s="31">
        <f>IFERROR(VLOOKUP(Tableau1513[[#This Row],[20/40OH]],Tableau614[[20/40OH]:[tranche 8]],7,FALSE)*Tableau1513[[#This Row],[Tranche 6
import
nb jour]]*Tableau1513[[#This Row],[Nombre de 
conteneur]],0)</f>
        <v>0</v>
      </c>
      <c r="T22" s="29">
        <f>IF(AND(Tableau1513[[#This Row],[Nombre
jours
total]]&gt;=M$13,Tableau1513[[#This Row],[Nombre
jours
total]]&lt;=M$14),Tableau1513[[#This Row],[Nombre
jours
total]]-M$13+1,IF(Tableau1513[[#This Row],[Nombre
jours
total]]&lt;M$13,0,IF(Tableau1513[[#This Row],[Nombre
jours
total]]&gt;M$14,M$14-M$13+1)))</f>
        <v>0</v>
      </c>
      <c r="U22" s="31">
        <f>IFERROR(VLOOKUP(Tableau1513[[#This Row],[20/40OH]],Tableau614[[20/40OH]:[tranche 8]],8,FALSE)*Tableau1513[[#This Row],[Tranche 7
import
nb jour]]*Tableau1513[[#This Row],[Nombre de 
conteneur]],0)</f>
        <v>0</v>
      </c>
      <c r="V22" s="29">
        <f>IF(AND(Tableau1513[[#This Row],[Nombre
jours
total]]&gt;=N$13,Tableau1513[[#This Row],[Nombre
jours
total]]&lt;=N$14),Tableau1513[[#This Row],[Nombre
jours
total]]-N$13+1,IF(Tableau1513[[#This Row],[Nombre
jours
total]]&lt;N$13,0,IF(Tableau1513[[#This Row],[Nombre
jours
total]]&gt;N$14,N$14-N$13+1)))</f>
        <v>0</v>
      </c>
      <c r="W22" s="31">
        <f>IFERROR(VLOOKUP(Tableau1513[[#This Row],[20/40OH]],Tableau614[[20/40OH]:[tranche 8]],9,FALSE)*Tableau1513[[#This Row],[Tranche 8
import
nb jour]]*Tableau1513[[#This Row],[Nombre de 
conteneur]],0)</f>
        <v>0</v>
      </c>
      <c r="X22" s="31">
        <f>+Tableau1513[[#This Row],[Tranche 8
Import
coût]]+Tableau1513[[#This Row],[Tranche 7
Import
coût]]+Tableau1513[[#This Row],[Tranche 6
Import
coût]]+Tableau1513[[#This Row],[Tranche 5
Import
coût]]+Tableau1513[[#This Row],[Tranche 4
Import
coût]]+Tableau1513[[#This Row],[Tranche 3
Import
coût]]+Tableau1513[[#This Row],[Tranche 2
Import
coût]]</f>
        <v>0</v>
      </c>
      <c r="Y22" s="3">
        <f>+Tableau1513[[#This Row],[Tranche 8
import
nb jour]]+Tableau1513[[#This Row],[Tranche 7
import
nb jour]]+Tableau1513[[#This Row],[Tranche 6
import
nb jour]]+Tableau1513[[#This Row],[Tranche 5
import
nb jour]]+Tableau1513[[#This Row],[Tranche 4
import
nb jour]]+Tableau1513[[#This Row],[Tranche 3
import
nb jour]]+Tableau1513[[#This Row],[Tranche 2
import
nb jour]]+Tableau1513[[#This Row],[Tranche 1
import
nb jour]]-Tableau1513[[#This Row],[Nombre
jours
total]]</f>
        <v>0</v>
      </c>
    </row>
  </sheetData>
  <mergeCells count="6">
    <mergeCell ref="A18:N18"/>
    <mergeCell ref="A1:Y1"/>
    <mergeCell ref="A2:Y2"/>
    <mergeCell ref="A3:Y3"/>
    <mergeCell ref="A4:Y4"/>
    <mergeCell ref="A17:N17"/>
  </mergeCells>
  <dataValidations count="2">
    <dataValidation type="list" allowBlank="1" showInputMessage="1" showErrorMessage="1" sqref="C22" xr:uid="{C93D4203-0E66-41D6-8538-B748FBACFC9C}">
      <formula1>type</formula1>
    </dataValidation>
    <dataValidation type="list" allowBlank="1" showInputMessage="1" showErrorMessage="1" sqref="B22" xr:uid="{36810F23-5907-4A67-8EC2-5A9CB9614664}">
      <formula1>longueur</formula1>
    </dataValidation>
  </dataValidations>
  <pageMargins left="0" right="0" top="0" bottom="0" header="0" footer="0"/>
  <pageSetup paperSize="9" scale="46" orientation="landscape" r:id="rId1"/>
  <tableParts count="2">
    <tablePart r:id="rId2"/>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BA94CE-B10B-4032-8DE1-7BC946364682}">
  <sheetPr>
    <tabColor theme="9"/>
    <pageSetUpPr fitToPage="1"/>
  </sheetPr>
  <dimension ref="A1:T19"/>
  <sheetViews>
    <sheetView showGridLines="0" showZeros="0" zoomScale="85" zoomScaleNormal="85" workbookViewId="0">
      <pane xSplit="4" ySplit="4" topLeftCell="E5" activePane="bottomRight" state="frozen"/>
      <selection pane="topRight" activeCell="E1" sqref="E1"/>
      <selection pane="bottomLeft" activeCell="A5" sqref="A5"/>
      <selection pane="bottomRight" activeCell="A19" sqref="A19"/>
    </sheetView>
  </sheetViews>
  <sheetFormatPr baseColWidth="10" defaultColWidth="11.42578125" defaultRowHeight="15" x14ac:dyDescent="0.25"/>
  <cols>
    <col min="1" max="1" width="16.42578125" style="17" customWidth="1"/>
    <col min="2" max="2" width="10.7109375" style="17" bestFit="1" customWidth="1"/>
    <col min="3" max="4" width="17.5703125" style="17" customWidth="1"/>
    <col min="5" max="5" width="13.140625" style="17" bestFit="1" customWidth="1"/>
    <col min="6" max="6" width="14.140625" style="2" customWidth="1"/>
    <col min="7" max="7" width="12.42578125" style="2" bestFit="1" customWidth="1"/>
    <col min="8" max="13" width="12.85546875" style="2" bestFit="1" customWidth="1"/>
    <col min="14" max="14" width="12.85546875" style="3" bestFit="1" customWidth="1"/>
    <col min="15" max="19" width="12.85546875" style="2" bestFit="1" customWidth="1"/>
    <col min="20" max="20" width="17" style="2" customWidth="1"/>
  </cols>
  <sheetData>
    <row r="1" spans="1:20" ht="24" x14ac:dyDescent="0.25">
      <c r="A1" s="40" t="s">
        <v>60</v>
      </c>
      <c r="B1" s="40"/>
      <c r="C1" s="40"/>
      <c r="D1" s="40"/>
      <c r="E1" s="40"/>
      <c r="F1" s="40"/>
      <c r="G1" s="40"/>
      <c r="H1" s="40"/>
      <c r="I1" s="40"/>
      <c r="J1" s="40"/>
      <c r="K1" s="40"/>
      <c r="L1" s="40"/>
      <c r="M1" s="40"/>
      <c r="N1" s="40"/>
      <c r="O1" s="40"/>
      <c r="P1" s="40"/>
      <c r="Q1" s="40"/>
      <c r="R1" s="40"/>
      <c r="S1" s="40"/>
      <c r="T1" s="40"/>
    </row>
    <row r="2" spans="1:20" ht="24" x14ac:dyDescent="0.25">
      <c r="A2" s="40" t="s">
        <v>91</v>
      </c>
      <c r="B2" s="40"/>
      <c r="C2" s="40"/>
      <c r="D2" s="40"/>
      <c r="E2" s="40"/>
      <c r="F2" s="40"/>
      <c r="G2" s="40"/>
      <c r="H2" s="40"/>
      <c r="I2" s="40"/>
      <c r="J2" s="40"/>
      <c r="K2" s="40"/>
      <c r="L2" s="40"/>
      <c r="M2" s="40"/>
      <c r="N2" s="40"/>
      <c r="O2" s="40"/>
      <c r="P2" s="40"/>
      <c r="Q2" s="40"/>
      <c r="R2" s="40"/>
      <c r="S2" s="40"/>
      <c r="T2" s="40"/>
    </row>
    <row r="3" spans="1:20" ht="24" x14ac:dyDescent="0.25">
      <c r="A3" s="38" t="s">
        <v>13</v>
      </c>
      <c r="B3" s="38"/>
      <c r="C3" s="38"/>
      <c r="D3" s="38"/>
      <c r="E3" s="38"/>
      <c r="F3" s="38"/>
      <c r="G3" s="38"/>
      <c r="H3" s="38"/>
      <c r="I3" s="38"/>
      <c r="J3" s="38"/>
      <c r="K3" s="38"/>
      <c r="L3" s="38"/>
      <c r="M3" s="38"/>
      <c r="N3" s="38"/>
      <c r="O3" s="38"/>
      <c r="P3" s="38"/>
      <c r="Q3" s="38"/>
      <c r="R3" s="38"/>
      <c r="S3" s="38"/>
      <c r="T3" s="38"/>
    </row>
    <row r="4" spans="1:20" ht="37.5" customHeight="1" x14ac:dyDescent="0.25">
      <c r="A4" s="42" t="s">
        <v>14</v>
      </c>
      <c r="B4" s="42"/>
      <c r="C4" s="42"/>
      <c r="D4" s="42"/>
      <c r="E4" s="42"/>
      <c r="F4" s="42"/>
      <c r="G4" s="42"/>
      <c r="H4" s="42"/>
      <c r="I4" s="42"/>
      <c r="J4" s="42"/>
      <c r="K4" s="42"/>
      <c r="L4" s="42"/>
      <c r="M4" s="42"/>
      <c r="N4" s="42"/>
      <c r="O4" s="42"/>
      <c r="P4" s="42"/>
      <c r="Q4" s="42"/>
      <c r="R4" s="42"/>
      <c r="S4" s="42"/>
      <c r="T4" s="42"/>
    </row>
    <row r="5" spans="1:20" x14ac:dyDescent="0.25">
      <c r="A5" s="2"/>
      <c r="B5" s="2"/>
      <c r="C5" s="2"/>
      <c r="D5" s="2"/>
      <c r="E5" s="2"/>
    </row>
    <row r="6" spans="1:20" x14ac:dyDescent="0.25">
      <c r="A6" s="2"/>
      <c r="B6" s="2"/>
      <c r="C6" s="2"/>
      <c r="D6" s="7" t="s">
        <v>16</v>
      </c>
      <c r="E6" s="7" t="s">
        <v>62</v>
      </c>
      <c r="F6" s="2" t="s">
        <v>18</v>
      </c>
      <c r="G6" s="2" t="s">
        <v>19</v>
      </c>
      <c r="H6" s="2" t="s">
        <v>20</v>
      </c>
      <c r="I6" s="2" t="s">
        <v>21</v>
      </c>
      <c r="J6" s="2" t="s">
        <v>22</v>
      </c>
      <c r="K6" s="2" t="s">
        <v>23</v>
      </c>
      <c r="L6" s="2" t="s">
        <v>24</v>
      </c>
      <c r="N6" s="2"/>
    </row>
    <row r="7" spans="1:20" ht="75" x14ac:dyDescent="0.25">
      <c r="A7" s="2"/>
      <c r="B7" s="2"/>
      <c r="C7" s="2"/>
      <c r="D7" s="34" t="s">
        <v>5</v>
      </c>
      <c r="E7" s="34" t="s">
        <v>63</v>
      </c>
      <c r="F7" s="10" t="s">
        <v>26</v>
      </c>
      <c r="G7" s="10">
        <v>21.09</v>
      </c>
      <c r="H7" s="10">
        <v>14.06</v>
      </c>
      <c r="I7" s="10">
        <v>18.93</v>
      </c>
      <c r="J7" s="10">
        <v>34.61</v>
      </c>
      <c r="K7" s="10">
        <v>75.17</v>
      </c>
      <c r="L7" s="10">
        <v>97.88</v>
      </c>
      <c r="N7" s="2"/>
      <c r="O7" s="5"/>
    </row>
    <row r="8" spans="1:20" ht="75" x14ac:dyDescent="0.25">
      <c r="A8" s="2"/>
      <c r="B8" s="2"/>
      <c r="C8" s="2"/>
      <c r="D8" s="34" t="s">
        <v>8</v>
      </c>
      <c r="E8" s="34" t="s">
        <v>64</v>
      </c>
      <c r="F8" s="10" t="s">
        <v>26</v>
      </c>
      <c r="G8" s="10">
        <v>51.91</v>
      </c>
      <c r="H8" s="10">
        <v>69.22</v>
      </c>
      <c r="I8" s="10">
        <v>86.52</v>
      </c>
      <c r="J8" s="10">
        <v>109.78</v>
      </c>
      <c r="K8" s="10">
        <v>155.74</v>
      </c>
      <c r="L8" s="10">
        <v>201.7</v>
      </c>
      <c r="N8" s="2"/>
    </row>
    <row r="9" spans="1:20" ht="30" x14ac:dyDescent="0.25">
      <c r="A9" s="2"/>
      <c r="B9" s="2"/>
      <c r="C9" s="2"/>
      <c r="D9" s="34" t="s">
        <v>10</v>
      </c>
      <c r="E9" s="34" t="s">
        <v>65</v>
      </c>
      <c r="F9" s="10" t="s">
        <v>26</v>
      </c>
      <c r="G9" s="10">
        <f>+G8*1.5</f>
        <v>77.864999999999995</v>
      </c>
      <c r="H9" s="10">
        <f t="shared" ref="H9:L9" si="0">+H8*1.5</f>
        <v>103.83</v>
      </c>
      <c r="I9" s="10">
        <f t="shared" si="0"/>
        <v>129.78</v>
      </c>
      <c r="J9" s="10">
        <f t="shared" si="0"/>
        <v>164.67000000000002</v>
      </c>
      <c r="K9" s="10">
        <f t="shared" si="0"/>
        <v>233.61</v>
      </c>
      <c r="L9" s="10">
        <f t="shared" si="0"/>
        <v>302.54999999999995</v>
      </c>
      <c r="N9" s="2"/>
    </row>
    <row r="10" spans="1:20" x14ac:dyDescent="0.25">
      <c r="A10" s="2"/>
      <c r="B10" s="2"/>
      <c r="C10" s="2"/>
      <c r="D10" s="16" t="s">
        <v>31</v>
      </c>
      <c r="E10" s="11"/>
      <c r="F10" s="6">
        <v>0</v>
      </c>
      <c r="G10" s="6">
        <f>+F11+1</f>
        <v>6</v>
      </c>
      <c r="H10" s="6">
        <f>+G11+1</f>
        <v>7</v>
      </c>
      <c r="I10" s="6">
        <f t="shared" ref="I10:L10" si="1">+H11+1</f>
        <v>15</v>
      </c>
      <c r="J10" s="6">
        <f t="shared" si="1"/>
        <v>26</v>
      </c>
      <c r="K10" s="6">
        <f t="shared" si="1"/>
        <v>51</v>
      </c>
      <c r="L10" s="6">
        <f t="shared" si="1"/>
        <v>91</v>
      </c>
      <c r="N10" s="2"/>
    </row>
    <row r="11" spans="1:20" x14ac:dyDescent="0.25">
      <c r="A11" s="2"/>
      <c r="B11" s="2"/>
      <c r="C11" s="2"/>
      <c r="D11" s="16" t="s">
        <v>32</v>
      </c>
      <c r="E11" s="11"/>
      <c r="F11" s="6">
        <v>5</v>
      </c>
      <c r="G11" s="6">
        <v>6</v>
      </c>
      <c r="H11" s="6">
        <v>14</v>
      </c>
      <c r="I11" s="6">
        <v>25</v>
      </c>
      <c r="J11" s="6">
        <v>50</v>
      </c>
      <c r="K11" s="6">
        <v>90</v>
      </c>
      <c r="L11" s="35">
        <v>999999</v>
      </c>
      <c r="N11" s="2"/>
    </row>
    <row r="12" spans="1:20" x14ac:dyDescent="0.25">
      <c r="A12" s="2"/>
      <c r="B12" s="2"/>
      <c r="C12" s="2"/>
      <c r="D12" s="8" t="s">
        <v>33</v>
      </c>
      <c r="E12" s="8"/>
      <c r="F12" s="6">
        <f>+F11</f>
        <v>5</v>
      </c>
      <c r="G12" s="6">
        <f>+G11-G10+1</f>
        <v>1</v>
      </c>
      <c r="H12" s="6">
        <f t="shared" ref="H12:K12" si="2">+H11-H10+1</f>
        <v>8</v>
      </c>
      <c r="I12" s="6">
        <f t="shared" si="2"/>
        <v>11</v>
      </c>
      <c r="J12" s="6">
        <f t="shared" si="2"/>
        <v>25</v>
      </c>
      <c r="K12" s="6">
        <f t="shared" si="2"/>
        <v>40</v>
      </c>
      <c r="L12" s="14">
        <f>+L11-L10+1</f>
        <v>999909</v>
      </c>
      <c r="N12" s="2"/>
    </row>
    <row r="13" spans="1:20" x14ac:dyDescent="0.25">
      <c r="A13" s="2"/>
      <c r="B13" s="2"/>
      <c r="C13" s="2"/>
      <c r="D13" s="2"/>
      <c r="E13" s="2"/>
      <c r="G13" s="4"/>
      <c r="H13" s="6"/>
      <c r="I13" s="6"/>
      <c r="J13" s="6"/>
      <c r="K13" s="6"/>
      <c r="L13" s="6"/>
      <c r="M13" s="6"/>
      <c r="N13" s="6"/>
      <c r="O13" s="6"/>
    </row>
    <row r="14" spans="1:20" x14ac:dyDescent="0.25">
      <c r="A14" s="39" t="s">
        <v>66</v>
      </c>
      <c r="B14" s="39"/>
      <c r="C14" s="39"/>
      <c r="D14" s="39"/>
      <c r="E14" s="39"/>
      <c r="F14" s="39"/>
      <c r="G14" s="39"/>
      <c r="H14" s="39"/>
      <c r="I14" s="39"/>
      <c r="J14" s="39"/>
      <c r="K14" s="39"/>
      <c r="L14" s="39"/>
      <c r="M14" s="39"/>
      <c r="N14" s="39"/>
      <c r="O14" s="12"/>
      <c r="P14" s="12"/>
      <c r="Q14" s="12"/>
      <c r="R14" s="12"/>
      <c r="S14" s="12"/>
      <c r="T14" s="12"/>
    </row>
    <row r="15" spans="1:20" ht="15.75" thickBot="1" x14ac:dyDescent="0.3">
      <c r="A15" s="39" t="s">
        <v>67</v>
      </c>
      <c r="B15" s="39"/>
      <c r="C15" s="39"/>
      <c r="D15" s="39"/>
      <c r="E15" s="39"/>
      <c r="F15" s="39"/>
      <c r="G15" s="39"/>
      <c r="H15" s="39"/>
      <c r="I15" s="39"/>
      <c r="J15" s="39"/>
      <c r="K15" s="39"/>
      <c r="L15" s="39"/>
      <c r="M15" s="39"/>
      <c r="N15" s="39"/>
      <c r="O15" s="12"/>
      <c r="P15" s="12"/>
      <c r="Q15" s="12"/>
      <c r="R15" s="12"/>
      <c r="S15" s="12"/>
      <c r="T15" s="12"/>
    </row>
    <row r="16" spans="1:20" ht="30.75" thickTop="1" x14ac:dyDescent="0.25">
      <c r="A16" s="13" t="s">
        <v>36</v>
      </c>
      <c r="B16" s="12"/>
      <c r="C16" s="12"/>
      <c r="D16" s="12"/>
      <c r="E16" s="12"/>
      <c r="F16" s="12"/>
      <c r="G16" s="12"/>
      <c r="H16" s="12"/>
      <c r="I16" s="12"/>
      <c r="J16" s="12"/>
      <c r="K16" s="12"/>
      <c r="L16" s="12"/>
      <c r="M16" s="12"/>
      <c r="N16" s="12"/>
      <c r="O16" s="12"/>
      <c r="P16" s="12"/>
      <c r="Q16" s="12"/>
      <c r="R16" s="12"/>
      <c r="S16" s="12"/>
      <c r="T16" s="12"/>
    </row>
    <row r="17" spans="1:20" ht="22.5" customHeight="1" x14ac:dyDescent="0.25">
      <c r="A17" s="18">
        <f>SUBTOTAL(9,Tableau151015[Total
Stationnement])</f>
        <v>0</v>
      </c>
      <c r="B17" s="2"/>
      <c r="C17" s="2"/>
      <c r="D17" s="2"/>
      <c r="E17" s="2"/>
      <c r="G17" s="4"/>
      <c r="H17" s="6"/>
      <c r="I17" s="6"/>
      <c r="J17" s="6"/>
      <c r="K17" s="6"/>
      <c r="L17" s="6"/>
      <c r="M17" s="6"/>
      <c r="N17" s="6"/>
      <c r="O17" s="6"/>
    </row>
    <row r="18" spans="1:20" ht="56.25" customHeight="1" x14ac:dyDescent="0.25">
      <c r="A18" s="19" t="s">
        <v>68</v>
      </c>
      <c r="B18" s="20" t="s">
        <v>16</v>
      </c>
      <c r="C18" s="19" t="s">
        <v>39</v>
      </c>
      <c r="D18" s="19" t="s">
        <v>40</v>
      </c>
      <c r="E18" s="22" t="s">
        <v>41</v>
      </c>
      <c r="F18" s="23" t="s">
        <v>42</v>
      </c>
      <c r="G18" s="24" t="s">
        <v>43</v>
      </c>
      <c r="H18" s="23" t="s">
        <v>44</v>
      </c>
      <c r="I18" s="24" t="s">
        <v>45</v>
      </c>
      <c r="J18" s="23" t="s">
        <v>46</v>
      </c>
      <c r="K18" s="24" t="s">
        <v>47</v>
      </c>
      <c r="L18" s="23" t="s">
        <v>48</v>
      </c>
      <c r="M18" s="24" t="s">
        <v>49</v>
      </c>
      <c r="N18" s="23" t="s">
        <v>50</v>
      </c>
      <c r="O18" s="24" t="s">
        <v>51</v>
      </c>
      <c r="P18" s="23" t="s">
        <v>52</v>
      </c>
      <c r="Q18" s="24" t="s">
        <v>53</v>
      </c>
      <c r="R18" s="23" t="s">
        <v>54</v>
      </c>
      <c r="S18" s="24" t="s">
        <v>55</v>
      </c>
      <c r="T18" s="22" t="s">
        <v>58</v>
      </c>
    </row>
    <row r="19" spans="1:20" x14ac:dyDescent="0.25">
      <c r="B19" s="26"/>
      <c r="C19" s="28"/>
      <c r="D19" s="28"/>
      <c r="E19" s="3">
        <f>+IF(Tableau151015[[#This Row],[Nombre de 
marchandises]]="",0,Tableau151015[[#This Row],[Date fin
''Livraison'']]-Tableau151015[[#This Row],[Date début
''Débarquement'']]+1)</f>
        <v>0</v>
      </c>
      <c r="F19" s="29">
        <f>IF(Tableau151015[[#This Row],[Nombre
jours
total]]&lt;=F$11,Tableau151015[[#This Row],[Nombre
jours
total]],F$11)</f>
        <v>0</v>
      </c>
      <c r="G19" s="30">
        <f>IFERROR(VLOOKUP(Tableau151015[[#This Row],[Type]],Tableau61116[],3,FALSE)*Tableau151015[[#This Row],[Tranche 1
import
nb jour]]*Tableau151015[[#This Row],[Nombre de 
marchandises]],0)</f>
        <v>0</v>
      </c>
      <c r="H19" s="29">
        <f>IF(AND(Tableau151015[[#This Row],[Nombre
jours
total]]&gt;=G$10,Tableau151015[[#This Row],[Nombre
jours
total]]&lt;=G$11),Tableau151015[[#This Row],[Nombre
jours
total]]-G$10+1,IF(Tableau151015[[#This Row],[Nombre
jours
total]]&lt;G$10,0,IF(Tableau151015[[#This Row],[Nombre
jours
total]]&gt;G$11,G$11-G$10+1)))</f>
        <v>0</v>
      </c>
      <c r="I19" s="31">
        <f>IFERROR(VLOOKUP(Tableau151015[[#This Row],[Type]],Tableau61116[],4,FALSE)*Tableau151015[[#This Row],[Tranche 2
import
nb jour]]*Tableau151015[[#This Row],[Nombre de 
marchandises]],0)</f>
        <v>0</v>
      </c>
      <c r="J19" s="29">
        <f>IF(AND(Tableau151015[[#This Row],[Nombre
jours
total]]&gt;=H$10,Tableau151015[[#This Row],[Nombre
jours
total]]&lt;=H$11),Tableau151015[[#This Row],[Nombre
jours
total]]-H$10+1,IF(Tableau151015[[#This Row],[Nombre
jours
total]]&lt;H$10,0,IF(Tableau151015[[#This Row],[Nombre
jours
total]]&gt;H$11,H$11-H$10+1)))</f>
        <v>0</v>
      </c>
      <c r="K19" s="31">
        <f>IFERROR(VLOOKUP(Tableau151015[[#This Row],[Type]],Tableau61116[],5,FALSE)*Tableau151015[[#This Row],[Tranche 3
import
nb jour]]*Tableau151015[[#This Row],[Nombre de 
marchandises]],0)</f>
        <v>0</v>
      </c>
      <c r="L19" s="29">
        <f>IF(AND(Tableau151015[[#This Row],[Nombre
jours
total]]&gt;=I$10,Tableau151015[[#This Row],[Nombre
jours
total]]&lt;=I$11),Tableau151015[[#This Row],[Nombre
jours
total]]-I$10+1,IF(Tableau151015[[#This Row],[Nombre
jours
total]]&lt;I$10,0,IF(Tableau151015[[#This Row],[Nombre
jours
total]]&gt;I$11,I$11-I$10+1)))</f>
        <v>0</v>
      </c>
      <c r="M19" s="31">
        <f>IFERROR(VLOOKUP(Tableau151015[[#This Row],[Type]],Tableau61116[],6,FALSE)*Tableau151015[[#This Row],[Tranche 4
import
nb jour]]*Tableau151015[[#This Row],[Nombre de 
marchandises]],0)</f>
        <v>0</v>
      </c>
      <c r="N19" s="29">
        <f>IF(AND(Tableau151015[[#This Row],[Nombre
jours
total]]&gt;=J$10,Tableau151015[[#This Row],[Nombre
jours
total]]&lt;=J$11),Tableau151015[[#This Row],[Nombre
jours
total]]-J$10+1,IF(Tableau151015[[#This Row],[Nombre
jours
total]]&lt;J$10,0,IF(Tableau151015[[#This Row],[Nombre
jours
total]]&gt;J$11,J$11-J$10+1)))</f>
        <v>0</v>
      </c>
      <c r="O19" s="31">
        <f>IFERROR(VLOOKUP(Tableau151015[[#This Row],[Type]],Tableau61116[],7,FALSE)*Tableau151015[[#This Row],[Tranche 5
import
nb jour]]*Tableau151015[[#This Row],[Nombre de 
marchandises]],0)</f>
        <v>0</v>
      </c>
      <c r="P19" s="29">
        <f>IF(AND(Tableau151015[[#This Row],[Nombre
jours
total]]&gt;=K$10,Tableau151015[[#This Row],[Nombre
jours
total]]&lt;=K$11),Tableau151015[[#This Row],[Nombre
jours
total]]-K$10+1,IF(Tableau151015[[#This Row],[Nombre
jours
total]]&lt;K$10,0,IF(Tableau151015[[#This Row],[Nombre
jours
total]]&gt;K$11,K$11-K$10+1)))</f>
        <v>0</v>
      </c>
      <c r="Q19" s="31">
        <f>IFERROR(VLOOKUP(Tableau151015[[#This Row],[Type]],Tableau61116[],8,FALSE)*Tableau151015[[#This Row],[Tranche 6
import
nb jour]]*Tableau151015[[#This Row],[Nombre de 
marchandises]],0)</f>
        <v>0</v>
      </c>
      <c r="R19" s="29">
        <f>IF(AND(Tableau151015[[#This Row],[Nombre
jours
total]]&gt;=L$10,Tableau151015[[#This Row],[Nombre
jours
total]]&lt;=L$11),Tableau151015[[#This Row],[Nombre
jours
total]]-L$10+1,IF(Tableau151015[[#This Row],[Nombre
jours
total]]&lt;L$10,0,IF(Tableau151015[[#This Row],[Nombre
jours
total]]&gt;L$11,L$11-L$10+1)))</f>
        <v>0</v>
      </c>
      <c r="S19" s="31">
        <f>IFERROR(VLOOKUP(Tableau151015[[#This Row],[Type]],Tableau61116[],9,FALSE)*Tableau151015[[#This Row],[Tranche 6
import
nb jour]]*Tableau151015[[#This Row],[Nombre de 
marchandises]],0)</f>
        <v>0</v>
      </c>
      <c r="T19" s="31">
        <f>+Tableau151015[[#This Row],[Tranche 7
Import
coût]]+Tableau151015[[#This Row],[Tranche 6
Import
coût]]+Tableau151015[[#This Row],[Tranche 5
Import
coût]]+Tableau151015[[#This Row],[Tranche 4
Import
coût]]+Tableau151015[[#This Row],[Tranche 3
Import
coût]]+Tableau151015[[#This Row],[Tranche 2
Import
coût]]+Tableau151015[[#This Row],[Tranche 1
Import
coût]]</f>
        <v>0</v>
      </c>
    </row>
  </sheetData>
  <mergeCells count="5">
    <mergeCell ref="A1:T1"/>
    <mergeCell ref="A2:T2"/>
    <mergeCell ref="A4:T4"/>
    <mergeCell ref="A14:N14"/>
    <mergeCell ref="A15:N15"/>
  </mergeCells>
  <dataValidations count="1">
    <dataValidation type="list" allowBlank="1" showInputMessage="1" showErrorMessage="1" sqref="B19" xr:uid="{DDED3C3D-2115-4105-9B77-5BD502B1D2AB}">
      <formula1>Marchandise</formula1>
    </dataValidation>
  </dataValidations>
  <pageMargins left="0" right="0" top="0" bottom="0" header="0" footer="0"/>
  <pageSetup paperSize="9" scale="52" orientation="landscape" r:id="rId1"/>
  <tableParts count="2">
    <tablePart r:id="rId2"/>
    <tablePart r:id="rId3"/>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C09EEE-6D9A-4395-A96B-B9C7A1F544FC}">
  <sheetPr>
    <tabColor theme="5"/>
    <pageSetUpPr fitToPage="1"/>
  </sheetPr>
  <dimension ref="A1:Z22"/>
  <sheetViews>
    <sheetView showGridLines="0" showZeros="0" zoomScale="85" zoomScaleNormal="85" workbookViewId="0">
      <pane xSplit="6" ySplit="4" topLeftCell="G5" activePane="bottomRight" state="frozen"/>
      <selection activeCell="D33" sqref="D33"/>
      <selection pane="topRight" activeCell="D33" sqref="D33"/>
      <selection pane="bottomLeft" activeCell="D33" sqref="D33"/>
      <selection pane="bottomRight" activeCell="H46" sqref="H46"/>
    </sheetView>
  </sheetViews>
  <sheetFormatPr baseColWidth="10" defaultColWidth="11.42578125" defaultRowHeight="15" x14ac:dyDescent="0.25"/>
  <cols>
    <col min="1" max="1" width="16.42578125" style="17" customWidth="1"/>
    <col min="2" max="2" width="10.7109375" style="17" bestFit="1" customWidth="1"/>
    <col min="3" max="3" width="14" style="17" bestFit="1" customWidth="1"/>
    <col min="4" max="5" width="18.42578125" style="17" customWidth="1"/>
    <col min="6" max="6" width="14.140625" style="2" hidden="1" customWidth="1"/>
    <col min="7" max="7" width="12.42578125" style="2" bestFit="1" customWidth="1"/>
    <col min="8" max="13" width="12.85546875" style="2" bestFit="1" customWidth="1"/>
    <col min="14" max="14" width="12.85546875" style="3" bestFit="1" customWidth="1"/>
    <col min="15" max="23" width="12.85546875" style="2" bestFit="1" customWidth="1"/>
    <col min="24" max="24" width="20.5703125" style="2" customWidth="1"/>
    <col min="25" max="25" width="14.28515625" style="2" hidden="1" customWidth="1"/>
    <col min="26" max="16384" width="11.42578125" style="2"/>
  </cols>
  <sheetData>
    <row r="1" spans="1:25" ht="24" x14ac:dyDescent="0.25">
      <c r="A1" s="40" t="s">
        <v>60</v>
      </c>
      <c r="B1" s="40"/>
      <c r="C1" s="40"/>
      <c r="D1" s="40"/>
      <c r="E1" s="40"/>
      <c r="F1" s="40"/>
      <c r="G1" s="40"/>
      <c r="H1" s="40"/>
      <c r="I1" s="40"/>
      <c r="J1" s="40"/>
      <c r="K1" s="40"/>
      <c r="L1" s="40"/>
      <c r="M1" s="40"/>
      <c r="N1" s="40"/>
      <c r="O1" s="40"/>
      <c r="P1" s="40"/>
      <c r="Q1" s="40"/>
      <c r="R1" s="40"/>
      <c r="S1" s="40"/>
      <c r="T1" s="40"/>
      <c r="U1" s="40"/>
      <c r="V1" s="40"/>
      <c r="W1" s="40"/>
      <c r="X1" s="40"/>
      <c r="Y1" s="40"/>
    </row>
    <row r="2" spans="1:25" ht="51.75" customHeight="1" x14ac:dyDescent="0.25">
      <c r="A2" s="43" t="s">
        <v>92</v>
      </c>
      <c r="B2" s="40"/>
      <c r="C2" s="40"/>
      <c r="D2" s="40"/>
      <c r="E2" s="40"/>
      <c r="F2" s="40"/>
      <c r="G2" s="40"/>
      <c r="H2" s="40"/>
      <c r="I2" s="40"/>
      <c r="J2" s="40"/>
      <c r="K2" s="40"/>
      <c r="L2" s="40"/>
      <c r="M2" s="40"/>
      <c r="N2" s="40"/>
      <c r="O2" s="40"/>
      <c r="P2" s="40"/>
      <c r="Q2" s="40"/>
      <c r="R2" s="40"/>
      <c r="S2" s="40"/>
      <c r="T2" s="40"/>
      <c r="U2" s="40"/>
      <c r="V2" s="40"/>
      <c r="W2" s="40"/>
      <c r="X2" s="40"/>
      <c r="Y2" s="40"/>
    </row>
    <row r="3" spans="1:25" s="36" customFormat="1" ht="24" x14ac:dyDescent="0.25">
      <c r="A3" s="41" t="s">
        <v>13</v>
      </c>
      <c r="B3" s="41"/>
      <c r="C3" s="41"/>
      <c r="D3" s="41"/>
      <c r="E3" s="41"/>
      <c r="F3" s="41"/>
      <c r="G3" s="41"/>
      <c r="H3" s="41"/>
      <c r="I3" s="41"/>
      <c r="J3" s="41"/>
      <c r="K3" s="41"/>
      <c r="L3" s="41"/>
      <c r="M3" s="41"/>
      <c r="N3" s="41"/>
      <c r="O3" s="41"/>
      <c r="P3" s="41"/>
      <c r="Q3" s="41"/>
      <c r="R3" s="41"/>
      <c r="S3" s="41"/>
      <c r="T3" s="41"/>
      <c r="U3" s="41"/>
      <c r="V3" s="41"/>
      <c r="W3" s="41"/>
      <c r="X3" s="41"/>
      <c r="Y3" s="41"/>
    </row>
    <row r="4" spans="1:25" ht="37.5" customHeight="1" x14ac:dyDescent="0.25">
      <c r="A4" s="42" t="s">
        <v>14</v>
      </c>
      <c r="B4" s="42"/>
      <c r="C4" s="42"/>
      <c r="D4" s="42"/>
      <c r="E4" s="42"/>
      <c r="F4" s="42"/>
      <c r="G4" s="42"/>
      <c r="H4" s="42"/>
      <c r="I4" s="42"/>
      <c r="J4" s="42"/>
      <c r="K4" s="42"/>
      <c r="L4" s="42"/>
      <c r="M4" s="42"/>
      <c r="N4" s="42"/>
      <c r="O4" s="42"/>
      <c r="P4" s="42"/>
      <c r="Q4" s="42"/>
      <c r="R4" s="42"/>
      <c r="S4" s="42"/>
      <c r="T4" s="42"/>
      <c r="U4" s="42"/>
      <c r="V4" s="42"/>
      <c r="W4" s="42"/>
      <c r="X4" s="42"/>
      <c r="Y4" s="42"/>
    </row>
    <row r="5" spans="1:25" x14ac:dyDescent="0.25">
      <c r="A5" s="2"/>
      <c r="B5" s="2"/>
      <c r="C5" s="2"/>
      <c r="D5" s="2"/>
      <c r="E5" s="2"/>
    </row>
    <row r="6" spans="1:25" x14ac:dyDescent="0.25">
      <c r="A6" s="2"/>
      <c r="B6" s="2"/>
      <c r="C6" s="2"/>
      <c r="D6" s="7" t="s">
        <v>15</v>
      </c>
      <c r="E6" s="7" t="s">
        <v>16</v>
      </c>
      <c r="F6" s="2" t="s">
        <v>17</v>
      </c>
      <c r="G6" s="2" t="s">
        <v>18</v>
      </c>
      <c r="H6" s="2" t="s">
        <v>19</v>
      </c>
      <c r="I6" s="2" t="s">
        <v>20</v>
      </c>
      <c r="J6" s="2" t="s">
        <v>21</v>
      </c>
      <c r="K6" s="2" t="s">
        <v>22</v>
      </c>
      <c r="L6" s="2" t="s">
        <v>23</v>
      </c>
      <c r="M6" s="2" t="s">
        <v>24</v>
      </c>
      <c r="N6" s="2" t="s">
        <v>25</v>
      </c>
    </row>
    <row r="7" spans="1:25" x14ac:dyDescent="0.25">
      <c r="A7" s="2"/>
      <c r="B7" s="2"/>
      <c r="C7" s="2"/>
      <c r="D7" s="8" t="s">
        <v>3</v>
      </c>
      <c r="E7" s="8"/>
      <c r="F7" s="8" t="s">
        <v>3</v>
      </c>
      <c r="G7" s="9" t="s">
        <v>26</v>
      </c>
      <c r="H7" s="10">
        <v>5.95</v>
      </c>
      <c r="I7" s="10">
        <v>10.82</v>
      </c>
      <c r="J7" s="10">
        <v>11.9</v>
      </c>
      <c r="K7" s="10">
        <v>17.3</v>
      </c>
      <c r="L7" s="10">
        <v>46.5</v>
      </c>
      <c r="M7" s="10">
        <v>80.58</v>
      </c>
      <c r="N7" s="10">
        <v>103.82</v>
      </c>
      <c r="Q7" s="5"/>
      <c r="W7" s="4"/>
    </row>
    <row r="8" spans="1:25" x14ac:dyDescent="0.25">
      <c r="A8" s="2"/>
      <c r="B8" s="2"/>
      <c r="C8" s="2"/>
      <c r="D8" s="8" t="s">
        <v>3</v>
      </c>
      <c r="E8" s="8" t="s">
        <v>27</v>
      </c>
      <c r="F8" s="8" t="s">
        <v>28</v>
      </c>
      <c r="G8" s="9" t="s">
        <v>26</v>
      </c>
      <c r="H8" s="10">
        <f>+H7*2</f>
        <v>11.9</v>
      </c>
      <c r="I8" s="10">
        <f t="shared" ref="I8:N8" si="0">+I7*2</f>
        <v>21.64</v>
      </c>
      <c r="J8" s="10">
        <f t="shared" si="0"/>
        <v>23.8</v>
      </c>
      <c r="K8" s="10">
        <f t="shared" si="0"/>
        <v>34.6</v>
      </c>
      <c r="L8" s="10">
        <f t="shared" si="0"/>
        <v>93</v>
      </c>
      <c r="M8" s="10">
        <f t="shared" si="0"/>
        <v>161.16</v>
      </c>
      <c r="N8" s="10">
        <f t="shared" si="0"/>
        <v>207.64</v>
      </c>
      <c r="W8" s="4"/>
    </row>
    <row r="9" spans="1:25" x14ac:dyDescent="0.25">
      <c r="A9" s="2"/>
      <c r="B9" s="2"/>
      <c r="C9" s="2"/>
      <c r="D9" s="8" t="s">
        <v>6</v>
      </c>
      <c r="E9" s="8"/>
      <c r="F9" s="8" t="s">
        <v>6</v>
      </c>
      <c r="G9" s="9" t="s">
        <v>26</v>
      </c>
      <c r="H9" s="10">
        <v>11.9</v>
      </c>
      <c r="I9" s="10">
        <v>14.06</v>
      </c>
      <c r="J9" s="10">
        <v>17.3</v>
      </c>
      <c r="K9" s="10">
        <v>34.61</v>
      </c>
      <c r="L9" s="10">
        <v>103.82</v>
      </c>
      <c r="M9" s="10">
        <v>127.08</v>
      </c>
      <c r="N9" s="10">
        <v>167.1</v>
      </c>
      <c r="W9" s="4"/>
    </row>
    <row r="10" spans="1:25" x14ac:dyDescent="0.25">
      <c r="A10" s="2"/>
      <c r="B10" s="2"/>
      <c r="C10" s="2"/>
      <c r="D10" s="8" t="s">
        <v>6</v>
      </c>
      <c r="E10" s="8" t="s">
        <v>27</v>
      </c>
      <c r="F10" s="8" t="s">
        <v>29</v>
      </c>
      <c r="G10" s="9" t="s">
        <v>26</v>
      </c>
      <c r="H10" s="10">
        <f>+H9*2</f>
        <v>23.8</v>
      </c>
      <c r="I10" s="10">
        <f t="shared" ref="I10:N10" si="1">+I9*2</f>
        <v>28.12</v>
      </c>
      <c r="J10" s="10">
        <f t="shared" si="1"/>
        <v>34.6</v>
      </c>
      <c r="K10" s="10">
        <f t="shared" si="1"/>
        <v>69.22</v>
      </c>
      <c r="L10" s="10">
        <f t="shared" si="1"/>
        <v>207.64</v>
      </c>
      <c r="M10" s="10">
        <f t="shared" si="1"/>
        <v>254.16</v>
      </c>
      <c r="N10" s="10">
        <f t="shared" si="1"/>
        <v>334.2</v>
      </c>
      <c r="W10" s="4"/>
    </row>
    <row r="11" spans="1:25" x14ac:dyDescent="0.25">
      <c r="A11" s="2"/>
      <c r="B11" s="2"/>
      <c r="C11" s="2"/>
      <c r="D11" s="8" t="s">
        <v>9</v>
      </c>
      <c r="E11" s="8"/>
      <c r="F11" s="8" t="s">
        <v>9</v>
      </c>
      <c r="G11" s="9" t="s">
        <v>26</v>
      </c>
      <c r="H11" s="10">
        <v>13.38</v>
      </c>
      <c r="I11" s="10">
        <v>15.82</v>
      </c>
      <c r="J11" s="10">
        <v>19.47</v>
      </c>
      <c r="K11" s="10">
        <v>38.93</v>
      </c>
      <c r="L11" s="10">
        <v>116.8</v>
      </c>
      <c r="M11" s="10">
        <v>142.96</v>
      </c>
      <c r="N11" s="10">
        <v>187.98</v>
      </c>
      <c r="W11" s="4"/>
    </row>
    <row r="12" spans="1:25" x14ac:dyDescent="0.25">
      <c r="A12" s="2"/>
      <c r="B12" s="2"/>
      <c r="C12" s="2"/>
      <c r="D12" s="8" t="s">
        <v>9</v>
      </c>
      <c r="E12" s="8" t="s">
        <v>27</v>
      </c>
      <c r="F12" s="8" t="s">
        <v>30</v>
      </c>
      <c r="G12" s="9" t="s">
        <v>26</v>
      </c>
      <c r="H12" s="10">
        <f>+H11*2</f>
        <v>26.76</v>
      </c>
      <c r="I12" s="10">
        <f t="shared" ref="I12:N12" si="2">+I11*2</f>
        <v>31.64</v>
      </c>
      <c r="J12" s="10">
        <f t="shared" si="2"/>
        <v>38.94</v>
      </c>
      <c r="K12" s="10">
        <f t="shared" si="2"/>
        <v>77.86</v>
      </c>
      <c r="L12" s="10">
        <f t="shared" si="2"/>
        <v>233.6</v>
      </c>
      <c r="M12" s="10">
        <f t="shared" si="2"/>
        <v>285.92</v>
      </c>
      <c r="N12" s="10">
        <f t="shared" si="2"/>
        <v>375.96</v>
      </c>
      <c r="W12" s="4"/>
    </row>
    <row r="13" spans="1:25" x14ac:dyDescent="0.25">
      <c r="A13" s="2"/>
      <c r="B13" s="2"/>
      <c r="C13" s="2"/>
      <c r="D13" s="16" t="s">
        <v>31</v>
      </c>
      <c r="E13" s="11"/>
      <c r="F13" s="11"/>
      <c r="G13" s="6">
        <v>0</v>
      </c>
      <c r="H13" s="6">
        <f>+G14+1</f>
        <v>9</v>
      </c>
      <c r="I13" s="6">
        <f>+H14+1</f>
        <v>11</v>
      </c>
      <c r="J13" s="6">
        <f t="shared" ref="J13:M13" si="3">+I14+1</f>
        <v>16</v>
      </c>
      <c r="K13" s="6">
        <f t="shared" si="3"/>
        <v>22</v>
      </c>
      <c r="L13" s="6">
        <f t="shared" si="3"/>
        <v>35</v>
      </c>
      <c r="M13" s="6">
        <f t="shared" si="3"/>
        <v>45</v>
      </c>
      <c r="N13" s="6">
        <f>+M14+1</f>
        <v>91</v>
      </c>
      <c r="W13" s="4"/>
    </row>
    <row r="14" spans="1:25" x14ac:dyDescent="0.25">
      <c r="A14" s="2"/>
      <c r="B14" s="2"/>
      <c r="C14" s="2"/>
      <c r="D14" s="16" t="s">
        <v>32</v>
      </c>
      <c r="E14" s="11"/>
      <c r="F14" s="11"/>
      <c r="G14" s="6">
        <v>8</v>
      </c>
      <c r="H14" s="6">
        <v>10</v>
      </c>
      <c r="I14" s="6">
        <v>15</v>
      </c>
      <c r="J14" s="6">
        <v>21</v>
      </c>
      <c r="K14" s="6">
        <v>34</v>
      </c>
      <c r="L14" s="6">
        <v>44</v>
      </c>
      <c r="M14" s="6">
        <v>90</v>
      </c>
      <c r="N14" s="14">
        <v>999999</v>
      </c>
      <c r="W14" s="4"/>
    </row>
    <row r="15" spans="1:25" x14ac:dyDescent="0.25">
      <c r="A15" s="2"/>
      <c r="B15" s="2"/>
      <c r="C15" s="2"/>
      <c r="D15" s="8" t="s">
        <v>33</v>
      </c>
      <c r="E15" s="8"/>
      <c r="F15" s="8"/>
      <c r="G15" s="6">
        <f>+G14</f>
        <v>8</v>
      </c>
      <c r="H15" s="6">
        <f>+H14-H13+1</f>
        <v>2</v>
      </c>
      <c r="I15" s="6">
        <f t="shared" ref="I15:L15" si="4">+I14-I13+1</f>
        <v>5</v>
      </c>
      <c r="J15" s="6">
        <f t="shared" si="4"/>
        <v>6</v>
      </c>
      <c r="K15" s="6">
        <f t="shared" si="4"/>
        <v>13</v>
      </c>
      <c r="L15" s="6">
        <f t="shared" si="4"/>
        <v>10</v>
      </c>
      <c r="M15" s="6">
        <f>+M14-M13+1</f>
        <v>46</v>
      </c>
      <c r="N15" s="15">
        <f>+N14-N13+1</f>
        <v>999909</v>
      </c>
      <c r="W15" s="4"/>
    </row>
    <row r="16" spans="1:25" x14ac:dyDescent="0.25">
      <c r="A16" s="2"/>
      <c r="B16" s="2"/>
      <c r="C16" s="2"/>
      <c r="D16" s="2"/>
      <c r="E16" s="2"/>
      <c r="G16" s="4"/>
      <c r="H16" s="6"/>
      <c r="I16" s="6"/>
      <c r="J16" s="6"/>
      <c r="K16" s="6"/>
      <c r="L16" s="6"/>
      <c r="M16" s="6"/>
      <c r="N16" s="6"/>
      <c r="O16" s="6"/>
      <c r="V16" s="4"/>
    </row>
    <row r="17" spans="1:26" x14ac:dyDescent="0.25">
      <c r="A17" s="39" t="s">
        <v>34</v>
      </c>
      <c r="B17" s="39"/>
      <c r="C17" s="39"/>
      <c r="D17" s="39"/>
      <c r="E17" s="39"/>
      <c r="F17" s="39"/>
      <c r="G17" s="39"/>
      <c r="H17" s="39"/>
      <c r="I17" s="39"/>
      <c r="J17" s="39"/>
      <c r="K17" s="39"/>
      <c r="L17" s="39"/>
      <c r="M17" s="39"/>
      <c r="N17" s="39"/>
      <c r="O17" s="12"/>
      <c r="P17" s="12"/>
      <c r="Q17" s="12"/>
      <c r="R17" s="12"/>
      <c r="S17" s="12"/>
      <c r="T17" s="12"/>
      <c r="U17" s="12"/>
      <c r="V17" s="12"/>
      <c r="W17" s="12"/>
      <c r="X17" s="12"/>
      <c r="Y17" s="12"/>
    </row>
    <row r="18" spans="1:26" ht="15.75" thickBot="1" x14ac:dyDescent="0.3">
      <c r="A18" s="39" t="s">
        <v>35</v>
      </c>
      <c r="B18" s="39"/>
      <c r="C18" s="39"/>
      <c r="D18" s="39"/>
      <c r="E18" s="39"/>
      <c r="F18" s="39"/>
      <c r="G18" s="39"/>
      <c r="H18" s="39"/>
      <c r="I18" s="39"/>
      <c r="J18" s="39"/>
      <c r="K18" s="39"/>
      <c r="L18" s="39"/>
      <c r="M18" s="39"/>
      <c r="N18" s="39"/>
      <c r="O18" s="12"/>
      <c r="P18" s="12"/>
      <c r="Q18" s="12"/>
      <c r="R18" s="12"/>
      <c r="S18" s="12"/>
      <c r="T18" s="12"/>
      <c r="U18" s="12"/>
      <c r="V18" s="12"/>
      <c r="W18" s="12"/>
      <c r="Y18" s="12"/>
    </row>
    <row r="19" spans="1:26" ht="30.75" thickTop="1" x14ac:dyDescent="0.25">
      <c r="A19" s="13" t="s">
        <v>36</v>
      </c>
      <c r="B19" s="12"/>
      <c r="C19" s="12"/>
      <c r="D19" s="12"/>
      <c r="E19" s="12"/>
      <c r="F19" s="12"/>
      <c r="G19" s="12"/>
      <c r="H19" s="12"/>
      <c r="I19" s="12"/>
      <c r="J19" s="12"/>
      <c r="K19" s="12"/>
      <c r="L19" s="12"/>
      <c r="M19" s="12"/>
      <c r="N19" s="12"/>
      <c r="O19" s="12"/>
      <c r="P19" s="12"/>
      <c r="Q19" s="12"/>
      <c r="R19" s="12"/>
      <c r="S19" s="12"/>
      <c r="T19" s="12"/>
      <c r="U19" s="12"/>
      <c r="V19" s="12"/>
      <c r="W19" s="12"/>
      <c r="Y19" s="12"/>
    </row>
    <row r="20" spans="1:26" ht="22.5" customHeight="1" x14ac:dyDescent="0.25">
      <c r="A20" s="18">
        <f>SUBTOTAL(9,Tableau15817[Total
Stationnement])</f>
        <v>0</v>
      </c>
      <c r="B20" s="2"/>
      <c r="C20" s="2"/>
      <c r="D20" s="2"/>
      <c r="E20" s="2"/>
      <c r="G20" s="4"/>
      <c r="H20" s="6"/>
      <c r="I20" s="6"/>
      <c r="J20" s="6"/>
      <c r="K20" s="6"/>
      <c r="L20" s="6"/>
      <c r="M20" s="6"/>
      <c r="N20" s="6"/>
      <c r="O20" s="6"/>
      <c r="V20" s="4"/>
    </row>
    <row r="21" spans="1:26" s="25" customFormat="1" ht="56.25" customHeight="1" x14ac:dyDescent="0.25">
      <c r="A21" s="19" t="s">
        <v>37</v>
      </c>
      <c r="B21" s="20" t="s">
        <v>15</v>
      </c>
      <c r="C21" s="20" t="s">
        <v>38</v>
      </c>
      <c r="D21" s="19" t="s">
        <v>70</v>
      </c>
      <c r="E21" s="19" t="s">
        <v>71</v>
      </c>
      <c r="F21" s="21" t="s">
        <v>17</v>
      </c>
      <c r="G21" s="22" t="s">
        <v>41</v>
      </c>
      <c r="H21" s="23" t="s">
        <v>72</v>
      </c>
      <c r="I21" s="24" t="s">
        <v>73</v>
      </c>
      <c r="J21" s="23" t="s">
        <v>74</v>
      </c>
      <c r="K21" s="24" t="s">
        <v>75</v>
      </c>
      <c r="L21" s="23" t="s">
        <v>76</v>
      </c>
      <c r="M21" s="24" t="s">
        <v>77</v>
      </c>
      <c r="N21" s="23" t="s">
        <v>78</v>
      </c>
      <c r="O21" s="24" t="s">
        <v>79</v>
      </c>
      <c r="P21" s="23" t="s">
        <v>80</v>
      </c>
      <c r="Q21" s="24" t="s">
        <v>81</v>
      </c>
      <c r="R21" s="23" t="s">
        <v>82</v>
      </c>
      <c r="S21" s="24" t="s">
        <v>83</v>
      </c>
      <c r="T21" s="23" t="s">
        <v>84</v>
      </c>
      <c r="U21" s="24" t="s">
        <v>85</v>
      </c>
      <c r="V21" s="23" t="s">
        <v>86</v>
      </c>
      <c r="W21" s="24" t="s">
        <v>87</v>
      </c>
      <c r="X21" s="22" t="s">
        <v>58</v>
      </c>
      <c r="Y21" s="21" t="s">
        <v>59</v>
      </c>
      <c r="Z21" s="2"/>
    </row>
    <row r="22" spans="1:26" x14ac:dyDescent="0.25">
      <c r="B22" s="26"/>
      <c r="C22" s="27"/>
      <c r="D22" s="28"/>
      <c r="E22" s="28"/>
      <c r="F22" s="4">
        <f>IF(OR(Tableau15817[[#This Row],[Type
OH/DGX]]="DGX",Tableau15817[[#This Row],[Type
OH/DGX]]="OH"),CONCATENATE(Tableau15817[[#This Row],[Taille]]," ohdgx"),Tableau15817[[#This Row],[Taille]])</f>
        <v>0</v>
      </c>
      <c r="G22" s="3">
        <f>+IF(Tableau15817[[#This Row],[Nombre de 
conteneur]]="",0,Tableau15817[[#This Row],[Date fin
''Embarquement'']]-Tableau15817[[#This Row],[Date début
''Réception'']]+1)</f>
        <v>0</v>
      </c>
      <c r="H22" s="29">
        <f>IF(Tableau15817[[#This Row],[Nombre
jours
total]]&lt;=G$14,Tableau15817[[#This Row],[Nombre
jours
total]],G$14)</f>
        <v>0</v>
      </c>
      <c r="I22" s="30">
        <f>IFERROR(VLOOKUP(Tableau15817[[#This Row],[20/40OH]],Tableau6918[[20/40OH]:[tranche 8]],2,FALSE)*Tableau15817[[#This Row],[Tranche 1
export
nb jour]]*Tableau15817[[#This Row],[Nombre de 
conteneur]],0)</f>
        <v>0</v>
      </c>
      <c r="J22" s="29">
        <f>IF(AND(Tableau15817[[#This Row],[Nombre
jours
total]]&gt;=H$13,Tableau15817[[#This Row],[Nombre
jours
total]]&lt;=H$14),Tableau15817[[#This Row],[Nombre
jours
total]]-H$13+1,IF(Tableau15817[[#This Row],[Nombre
jours
total]]&lt;H$13,0,IF(Tableau15817[[#This Row],[Nombre
jours
total]]&gt;H$14,H$14-H$13+1)))</f>
        <v>0</v>
      </c>
      <c r="K22" s="31">
        <f>IFERROR(VLOOKUP(Tableau15817[[#This Row],[20/40OH]],Tableau6918[[20/40OH]:[tranche 8]],3,FALSE)*Tableau15817[[#This Row],[Tranche 2
export
nb jour]]*Tableau15817[[#This Row],[Nombre de 
conteneur]],0)</f>
        <v>0</v>
      </c>
      <c r="L22" s="29">
        <f>IF(AND(Tableau15817[[#This Row],[Nombre
jours
total]]&gt;=I$13,Tableau15817[[#This Row],[Nombre
jours
total]]&lt;=I$14),Tableau15817[[#This Row],[Nombre
jours
total]]-I$13+1,IF(Tableau15817[[#This Row],[Nombre
jours
total]]&lt;I$13,0,IF(Tableau15817[[#This Row],[Nombre
jours
total]]&gt;I$14,I$14-I$13+1)))</f>
        <v>0</v>
      </c>
      <c r="M22" s="31">
        <f>IFERROR(VLOOKUP(Tableau15817[[#This Row],[20/40OH]],Tableau6918[[20/40OH]:[tranche 8]],4,FALSE)*Tableau15817[[#This Row],[Tranche 3
export
nb jour]]*Tableau15817[[#This Row],[Nombre de 
conteneur]],0)</f>
        <v>0</v>
      </c>
      <c r="N22" s="29">
        <f>IF(AND(Tableau15817[[#This Row],[Nombre
jours
total]]&gt;=J$13,Tableau15817[[#This Row],[Nombre
jours
total]]&lt;=J$14),Tableau15817[[#This Row],[Nombre
jours
total]]-J$13+1,IF(Tableau15817[[#This Row],[Nombre
jours
total]]&lt;J$13,0,IF(Tableau15817[[#This Row],[Nombre
jours
total]]&gt;J$14,J$14-J$13+1)))</f>
        <v>0</v>
      </c>
      <c r="O22" s="31">
        <f>IFERROR(VLOOKUP(Tableau15817[[#This Row],[20/40OH]],Tableau6918[[20/40OH]:[tranche 8]],5,FALSE)*Tableau15817[[#This Row],[Tranche 4
export
nb jour]]*Tableau15817[[#This Row],[Nombre de 
conteneur]],0)</f>
        <v>0</v>
      </c>
      <c r="P22" s="29">
        <f>IF(AND(Tableau15817[[#This Row],[Nombre
jours
total]]&gt;=K$13,Tableau15817[[#This Row],[Nombre
jours
total]]&lt;=K$14),Tableau15817[[#This Row],[Nombre
jours
total]]-K$13+1,IF(Tableau15817[[#This Row],[Nombre
jours
total]]&lt;K$13,0,IF(Tableau15817[[#This Row],[Nombre
jours
total]]&gt;K$14,K$14-K$13+1)))</f>
        <v>0</v>
      </c>
      <c r="Q22" s="31">
        <f>IFERROR(VLOOKUP(Tableau15817[[#This Row],[20/40OH]],Tableau6918[[20/40OH]:[tranche 8]],6,FALSE)*Tableau15817[[#This Row],[Tranche 5
export
nb jour]]*Tableau15817[[#This Row],[Nombre de 
conteneur]],0)</f>
        <v>0</v>
      </c>
      <c r="R22" s="29">
        <f>IF(AND(Tableau15817[[#This Row],[Nombre
jours
total]]&gt;=L$13,Tableau15817[[#This Row],[Nombre
jours
total]]&lt;=L$14),Tableau15817[[#This Row],[Nombre
jours
total]]-L$13+1,IF(Tableau15817[[#This Row],[Nombre
jours
total]]&lt;L$13,0,IF(Tableau15817[[#This Row],[Nombre
jours
total]]&gt;L$14,L$14-L$13+1)))</f>
        <v>0</v>
      </c>
      <c r="S22" s="31">
        <f>IFERROR(VLOOKUP(Tableau15817[[#This Row],[20/40OH]],Tableau6918[[20/40OH]:[tranche 8]],7,FALSE)*Tableau15817[[#This Row],[Tranche 6
export
nb jour]]*Tableau15817[[#This Row],[Nombre de 
conteneur]],0)</f>
        <v>0</v>
      </c>
      <c r="T22" s="29">
        <f>IF(AND(Tableau15817[[#This Row],[Nombre
jours
total]]&gt;=M$13,Tableau15817[[#This Row],[Nombre
jours
total]]&lt;=M$14),Tableau15817[[#This Row],[Nombre
jours
total]]-M$13+1,IF(Tableau15817[[#This Row],[Nombre
jours
total]]&lt;M$13,0,IF(Tableau15817[[#This Row],[Nombre
jours
total]]&gt;M$14,M$14-M$13+1)))</f>
        <v>0</v>
      </c>
      <c r="U22" s="31">
        <f>IFERROR(VLOOKUP(Tableau15817[[#This Row],[20/40OH]],Tableau6918[[20/40OH]:[tranche 8]],8,FALSE)*Tableau15817[[#This Row],[Tranche 7
export
nb jour]]*Tableau15817[[#This Row],[Nombre de 
conteneur]],0)</f>
        <v>0</v>
      </c>
      <c r="V22" s="29">
        <f>IF(AND(Tableau15817[[#This Row],[Nombre
jours
total]]&gt;=N$13,Tableau15817[[#This Row],[Nombre
jours
total]]&lt;=N$14),Tableau15817[[#This Row],[Nombre
jours
total]]-N$13+1,IF(Tableau15817[[#This Row],[Nombre
jours
total]]&lt;N$13,0,IF(Tableau15817[[#This Row],[Nombre
jours
total]]&gt;N$14,N$14-N$13+1)))</f>
        <v>0</v>
      </c>
      <c r="W22" s="31">
        <f>IFERROR(VLOOKUP(Tableau15817[[#This Row],[20/40OH]],Tableau6918[[20/40OH]:[tranche 8]],9,FALSE)*Tableau15817[[#This Row],[Tranche 8
export
nb jour]]*Tableau15817[[#This Row],[Nombre de 
conteneur]],0)</f>
        <v>0</v>
      </c>
      <c r="X22" s="31">
        <f>+Tableau15817[[#This Row],[Tranche 8
export
coût]]+Tableau15817[[#This Row],[Tranche 7
export
coût]]+Tableau15817[[#This Row],[Tranche 6
export
coût]]+Tableau15817[[#This Row],[Tranche 5
export
coût]]+Tableau15817[[#This Row],[Tranche 4
export
coût]]+Tableau15817[[#This Row],[Tranche 3
export
coût]]+Tableau15817[[#This Row],[Tranche 2
export
coût]]</f>
        <v>0</v>
      </c>
      <c r="Y22" s="3">
        <f>+Tableau15817[[#This Row],[Tranche 8
export
nb jour]]+Tableau15817[[#This Row],[Tranche 7
export
nb jour]]+Tableau15817[[#This Row],[Tranche 6
export
nb jour]]+Tableau15817[[#This Row],[Tranche 5
export
nb jour]]+Tableau15817[[#This Row],[Tranche 4
export
nb jour]]+Tableau15817[[#This Row],[Tranche 3
export
nb jour]]+Tableau15817[[#This Row],[Tranche 2
export
nb jour]]+Tableau15817[[#This Row],[Tranche 1
export
nb jour]]-Tableau15817[[#This Row],[Nombre
jours
total]]</f>
        <v>0</v>
      </c>
    </row>
  </sheetData>
  <mergeCells count="6">
    <mergeCell ref="A18:N18"/>
    <mergeCell ref="A1:Y1"/>
    <mergeCell ref="A2:Y2"/>
    <mergeCell ref="A3:Y3"/>
    <mergeCell ref="A4:Y4"/>
    <mergeCell ref="A17:N17"/>
  </mergeCells>
  <dataValidations count="2">
    <dataValidation type="list" allowBlank="1" showInputMessage="1" showErrorMessage="1" sqref="B22" xr:uid="{C54A6D4E-1291-49C9-A381-00CBADB3DC0D}">
      <formula1>longueur</formula1>
    </dataValidation>
    <dataValidation type="list" allowBlank="1" showInputMessage="1" showErrorMessage="1" sqref="C22" xr:uid="{D61825E0-AA47-4F60-82C3-A6DC2361959D}">
      <formula1>type</formula1>
    </dataValidation>
  </dataValidations>
  <pageMargins left="0" right="0" top="0" bottom="0" header="0" footer="0"/>
  <pageSetup paperSize="9" scale="45" orientation="landscape" r:id="rId1"/>
  <tableParts count="2">
    <tablePart r:id="rId2"/>
    <tablePart r:id="rId3"/>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A8FF51-0CAD-487A-BF52-11EE9CF3E574}">
  <sheetPr>
    <tabColor theme="5"/>
    <pageSetUpPr fitToPage="1"/>
  </sheetPr>
  <dimension ref="A1:U19"/>
  <sheetViews>
    <sheetView showGridLines="0" showZeros="0" zoomScale="85" zoomScaleNormal="85" workbookViewId="0">
      <pane xSplit="4" ySplit="4" topLeftCell="E5" activePane="bottomRight" state="frozen"/>
      <selection activeCell="D33" sqref="D33"/>
      <selection pane="topRight" activeCell="D33" sqref="D33"/>
      <selection pane="bottomLeft" activeCell="D33" sqref="D33"/>
      <selection pane="bottomRight" activeCell="F40" sqref="F40"/>
    </sheetView>
  </sheetViews>
  <sheetFormatPr baseColWidth="10" defaultColWidth="11.42578125" defaultRowHeight="15" x14ac:dyDescent="0.25"/>
  <cols>
    <col min="1" max="1" width="16.42578125" style="17" customWidth="1"/>
    <col min="2" max="2" width="10.7109375" style="17" bestFit="1" customWidth="1"/>
    <col min="3" max="4" width="17.5703125" style="17" customWidth="1"/>
    <col min="5" max="5" width="13.140625" style="17" bestFit="1" customWidth="1"/>
    <col min="6" max="6" width="14.140625" style="2" customWidth="1"/>
    <col min="7" max="7" width="12.42578125" style="2" bestFit="1" customWidth="1"/>
    <col min="8" max="13" width="12.85546875" style="2" bestFit="1" customWidth="1"/>
    <col min="14" max="14" width="12.85546875" style="3" bestFit="1" customWidth="1"/>
    <col min="15" max="19" width="12.85546875" style="2" bestFit="1" customWidth="1"/>
    <col min="20" max="20" width="17" style="2" customWidth="1"/>
    <col min="21" max="21" width="14.28515625" style="2" hidden="1" customWidth="1"/>
    <col min="22" max="16384" width="11.42578125" style="2"/>
  </cols>
  <sheetData>
    <row r="1" spans="1:21" ht="24" x14ac:dyDescent="0.25">
      <c r="A1" s="40" t="s">
        <v>60</v>
      </c>
      <c r="B1" s="40"/>
      <c r="C1" s="40"/>
      <c r="D1" s="40"/>
      <c r="E1" s="40"/>
      <c r="F1" s="40"/>
      <c r="G1" s="40"/>
      <c r="H1" s="40"/>
      <c r="I1" s="40"/>
      <c r="J1" s="40"/>
      <c r="K1" s="40"/>
      <c r="L1" s="40"/>
      <c r="M1" s="40"/>
      <c r="N1" s="40"/>
      <c r="O1" s="40"/>
      <c r="P1" s="40"/>
      <c r="Q1" s="40"/>
      <c r="R1" s="40"/>
      <c r="S1" s="40"/>
      <c r="T1" s="40"/>
      <c r="U1" s="40"/>
    </row>
    <row r="2" spans="1:21" ht="24" x14ac:dyDescent="0.25">
      <c r="A2" s="40" t="s">
        <v>93</v>
      </c>
      <c r="B2" s="40"/>
      <c r="C2" s="40"/>
      <c r="D2" s="40"/>
      <c r="E2" s="40"/>
      <c r="F2" s="40"/>
      <c r="G2" s="40"/>
      <c r="H2" s="40"/>
      <c r="I2" s="40"/>
      <c r="J2" s="40"/>
      <c r="K2" s="40"/>
      <c r="L2" s="40"/>
      <c r="M2" s="40"/>
      <c r="N2" s="40"/>
      <c r="O2" s="40"/>
      <c r="P2" s="40"/>
      <c r="Q2" s="40"/>
      <c r="R2" s="40"/>
      <c r="S2" s="40"/>
      <c r="T2" s="40"/>
      <c r="U2" s="40"/>
    </row>
    <row r="3" spans="1:21" ht="24" x14ac:dyDescent="0.25">
      <c r="A3" s="41" t="s">
        <v>13</v>
      </c>
      <c r="B3" s="41"/>
      <c r="C3" s="41"/>
      <c r="D3" s="41"/>
      <c r="E3" s="41"/>
      <c r="F3" s="41"/>
      <c r="G3" s="41"/>
      <c r="H3" s="41"/>
      <c r="I3" s="41"/>
      <c r="J3" s="41"/>
      <c r="K3" s="41"/>
      <c r="L3" s="41"/>
      <c r="M3" s="41"/>
      <c r="N3" s="41"/>
      <c r="O3" s="41"/>
      <c r="P3" s="41"/>
      <c r="Q3" s="41"/>
      <c r="R3" s="41"/>
      <c r="S3" s="41"/>
      <c r="T3" s="41"/>
      <c r="U3" s="41"/>
    </row>
    <row r="4" spans="1:21" ht="37.5" customHeight="1" x14ac:dyDescent="0.25">
      <c r="A4" s="42" t="s">
        <v>14</v>
      </c>
      <c r="B4" s="42"/>
      <c r="C4" s="42"/>
      <c r="D4" s="42"/>
      <c r="E4" s="42"/>
      <c r="F4" s="42"/>
      <c r="G4" s="42"/>
      <c r="H4" s="42"/>
      <c r="I4" s="42"/>
      <c r="J4" s="42"/>
      <c r="K4" s="42"/>
      <c r="L4" s="42"/>
      <c r="M4" s="42"/>
      <c r="N4" s="42"/>
      <c r="O4" s="42"/>
      <c r="P4" s="42"/>
      <c r="Q4" s="42"/>
      <c r="R4" s="42"/>
      <c r="S4" s="42"/>
      <c r="T4" s="42"/>
      <c r="U4" s="42"/>
    </row>
    <row r="5" spans="1:21" x14ac:dyDescent="0.25">
      <c r="A5" s="2"/>
      <c r="B5" s="2"/>
      <c r="C5" s="2"/>
      <c r="D5" s="2"/>
      <c r="E5" s="2"/>
    </row>
    <row r="6" spans="1:21" x14ac:dyDescent="0.25">
      <c r="A6" s="2"/>
      <c r="B6" s="2"/>
      <c r="C6" s="2"/>
      <c r="D6" s="7" t="s">
        <v>16</v>
      </c>
      <c r="E6" s="7" t="s">
        <v>62</v>
      </c>
      <c r="F6" s="2" t="s">
        <v>18</v>
      </c>
      <c r="G6" s="2" t="s">
        <v>19</v>
      </c>
      <c r="H6" s="2" t="s">
        <v>20</v>
      </c>
      <c r="I6" s="2" t="s">
        <v>21</v>
      </c>
      <c r="J6" s="2" t="s">
        <v>22</v>
      </c>
      <c r="K6" s="2" t="s">
        <v>23</v>
      </c>
      <c r="L6" s="2" t="s">
        <v>24</v>
      </c>
      <c r="N6" s="2"/>
    </row>
    <row r="7" spans="1:21" ht="75" x14ac:dyDescent="0.25">
      <c r="A7" s="2"/>
      <c r="B7" s="2"/>
      <c r="C7" s="2"/>
      <c r="D7" s="34" t="s">
        <v>5</v>
      </c>
      <c r="E7" s="34" t="s">
        <v>63</v>
      </c>
      <c r="F7" s="9" t="s">
        <v>26</v>
      </c>
      <c r="G7" s="10">
        <v>5.95</v>
      </c>
      <c r="H7" s="10">
        <v>12.98</v>
      </c>
      <c r="I7" s="10">
        <v>16.22</v>
      </c>
      <c r="J7" s="6">
        <v>34.61</v>
      </c>
      <c r="K7" s="6">
        <v>75.17</v>
      </c>
      <c r="L7" s="6">
        <v>97.88</v>
      </c>
      <c r="N7" s="2"/>
      <c r="O7" s="5"/>
    </row>
    <row r="8" spans="1:21" ht="75" x14ac:dyDescent="0.25">
      <c r="A8" s="2"/>
      <c r="B8" s="2"/>
      <c r="C8" s="2"/>
      <c r="D8" s="34" t="s">
        <v>8</v>
      </c>
      <c r="E8" s="34" t="s">
        <v>64</v>
      </c>
      <c r="F8" s="9" t="s">
        <v>26</v>
      </c>
      <c r="G8" s="10">
        <v>23.26</v>
      </c>
      <c r="H8" s="10">
        <v>40.56</v>
      </c>
      <c r="I8" s="10">
        <v>86.52</v>
      </c>
      <c r="J8" s="6">
        <v>109.78</v>
      </c>
      <c r="K8" s="6">
        <v>155.74</v>
      </c>
      <c r="L8" s="6">
        <v>201.7</v>
      </c>
      <c r="N8" s="2"/>
    </row>
    <row r="9" spans="1:21" ht="30" x14ac:dyDescent="0.25">
      <c r="A9" s="2"/>
      <c r="B9" s="2"/>
      <c r="C9" s="2"/>
      <c r="D9" s="34" t="s">
        <v>10</v>
      </c>
      <c r="E9" s="34" t="s">
        <v>65</v>
      </c>
      <c r="F9" s="9" t="s">
        <v>26</v>
      </c>
      <c r="G9" s="10">
        <f>+G8*1.5</f>
        <v>34.89</v>
      </c>
      <c r="H9" s="10">
        <f t="shared" ref="H9:L9" si="0">+H8*1.5</f>
        <v>60.84</v>
      </c>
      <c r="I9" s="10">
        <f t="shared" si="0"/>
        <v>129.78</v>
      </c>
      <c r="J9" s="10">
        <f t="shared" si="0"/>
        <v>164.67000000000002</v>
      </c>
      <c r="K9" s="10">
        <f t="shared" si="0"/>
        <v>233.61</v>
      </c>
      <c r="L9" s="10">
        <f t="shared" si="0"/>
        <v>302.54999999999995</v>
      </c>
      <c r="N9" s="2"/>
    </row>
    <row r="10" spans="1:21" x14ac:dyDescent="0.25">
      <c r="A10" s="2"/>
      <c r="B10" s="2"/>
      <c r="C10" s="2"/>
      <c r="D10" s="16" t="s">
        <v>31</v>
      </c>
      <c r="E10" s="11"/>
      <c r="F10" s="6">
        <v>0</v>
      </c>
      <c r="G10" s="6">
        <f>+F11+1</f>
        <v>9</v>
      </c>
      <c r="H10" s="6">
        <f>+G11+1</f>
        <v>11</v>
      </c>
      <c r="I10" s="6">
        <f t="shared" ref="I10:L10" si="1">+H11+1</f>
        <v>16</v>
      </c>
      <c r="J10" s="6">
        <f t="shared" si="1"/>
        <v>26</v>
      </c>
      <c r="K10" s="6">
        <f t="shared" si="1"/>
        <v>51</v>
      </c>
      <c r="L10" s="6">
        <f t="shared" si="1"/>
        <v>91</v>
      </c>
      <c r="N10" s="2"/>
    </row>
    <row r="11" spans="1:21" x14ac:dyDescent="0.25">
      <c r="A11" s="2"/>
      <c r="B11" s="2"/>
      <c r="C11" s="2"/>
      <c r="D11" s="16" t="s">
        <v>32</v>
      </c>
      <c r="E11" s="11"/>
      <c r="F11" s="6">
        <v>8</v>
      </c>
      <c r="G11" s="6">
        <v>10</v>
      </c>
      <c r="H11" s="6">
        <v>15</v>
      </c>
      <c r="I11" s="6">
        <v>25</v>
      </c>
      <c r="J11" s="6">
        <v>50</v>
      </c>
      <c r="K11" s="6">
        <v>90</v>
      </c>
      <c r="L11" s="35">
        <v>999999</v>
      </c>
      <c r="N11" s="2"/>
    </row>
    <row r="12" spans="1:21" x14ac:dyDescent="0.25">
      <c r="A12" s="2"/>
      <c r="B12" s="2"/>
      <c r="C12" s="2"/>
      <c r="D12" s="8" t="s">
        <v>33</v>
      </c>
      <c r="E12" s="8"/>
      <c r="F12" s="6">
        <f>+F11</f>
        <v>8</v>
      </c>
      <c r="G12" s="6">
        <f>+G11-G10+1</f>
        <v>2</v>
      </c>
      <c r="H12" s="6">
        <f t="shared" ref="H12:K12" si="2">+H11-H10+1</f>
        <v>5</v>
      </c>
      <c r="I12" s="6">
        <f t="shared" si="2"/>
        <v>10</v>
      </c>
      <c r="J12" s="6">
        <f t="shared" si="2"/>
        <v>25</v>
      </c>
      <c r="K12" s="6">
        <f t="shared" si="2"/>
        <v>40</v>
      </c>
      <c r="L12" s="14">
        <f>+L11-L10+1</f>
        <v>999909</v>
      </c>
      <c r="N12" s="2"/>
    </row>
    <row r="13" spans="1:21" x14ac:dyDescent="0.25">
      <c r="A13" s="2"/>
      <c r="B13" s="2"/>
      <c r="C13" s="2"/>
      <c r="D13" s="2"/>
      <c r="E13" s="2"/>
      <c r="G13" s="4"/>
      <c r="H13" s="6"/>
      <c r="I13" s="6"/>
      <c r="J13" s="6"/>
      <c r="K13" s="6"/>
      <c r="L13" s="6"/>
      <c r="M13" s="6"/>
      <c r="N13" s="6"/>
      <c r="O13" s="6"/>
    </row>
    <row r="14" spans="1:21" x14ac:dyDescent="0.25">
      <c r="A14" s="39" t="s">
        <v>66</v>
      </c>
      <c r="B14" s="39"/>
      <c r="C14" s="39"/>
      <c r="D14" s="39"/>
      <c r="E14" s="39"/>
      <c r="F14" s="39"/>
      <c r="G14" s="39"/>
      <c r="H14" s="39"/>
      <c r="I14" s="39"/>
      <c r="J14" s="39"/>
      <c r="K14" s="39"/>
      <c r="L14" s="39"/>
      <c r="M14" s="39"/>
      <c r="N14" s="39"/>
      <c r="O14" s="12"/>
      <c r="P14" s="12"/>
      <c r="Q14" s="12"/>
      <c r="R14" s="12"/>
      <c r="S14" s="12"/>
      <c r="T14" s="12"/>
      <c r="U14" s="12"/>
    </row>
    <row r="15" spans="1:21" ht="15.75" thickBot="1" x14ac:dyDescent="0.3">
      <c r="A15" s="39" t="s">
        <v>67</v>
      </c>
      <c r="B15" s="39"/>
      <c r="C15" s="39"/>
      <c r="D15" s="39"/>
      <c r="E15" s="39"/>
      <c r="F15" s="39"/>
      <c r="G15" s="39"/>
      <c r="H15" s="39"/>
      <c r="I15" s="39"/>
      <c r="J15" s="39"/>
      <c r="K15" s="39"/>
      <c r="L15" s="39"/>
      <c r="M15" s="39"/>
      <c r="N15" s="39"/>
      <c r="O15" s="12"/>
      <c r="P15" s="12"/>
      <c r="Q15" s="12"/>
      <c r="R15" s="12"/>
      <c r="S15" s="12"/>
      <c r="T15" s="12"/>
      <c r="U15" s="12"/>
    </row>
    <row r="16" spans="1:21" ht="30.75" thickTop="1" x14ac:dyDescent="0.25">
      <c r="A16" s="13" t="s">
        <v>36</v>
      </c>
      <c r="B16" s="12"/>
      <c r="C16" s="12"/>
      <c r="D16" s="12"/>
      <c r="E16" s="12"/>
      <c r="F16" s="12"/>
      <c r="G16" s="12"/>
      <c r="H16" s="12"/>
      <c r="I16" s="12"/>
      <c r="J16" s="12"/>
      <c r="K16" s="12"/>
      <c r="L16" s="12"/>
      <c r="M16" s="12"/>
      <c r="N16" s="12"/>
      <c r="O16" s="12"/>
      <c r="P16" s="12"/>
      <c r="Q16" s="12"/>
      <c r="R16" s="12"/>
      <c r="S16" s="12"/>
      <c r="T16" s="12"/>
      <c r="U16" s="12"/>
    </row>
    <row r="17" spans="1:20" ht="22.5" customHeight="1" x14ac:dyDescent="0.25">
      <c r="A17" s="18">
        <f>SUBTOTAL(9,Tableau1510619[Total
Stationnement])</f>
        <v>0</v>
      </c>
      <c r="B17" s="2"/>
      <c r="C17" s="2"/>
      <c r="D17" s="2"/>
      <c r="E17" s="2"/>
      <c r="G17" s="4"/>
      <c r="H17" s="6"/>
      <c r="I17" s="6"/>
      <c r="J17" s="6"/>
      <c r="K17" s="6"/>
      <c r="L17" s="6"/>
      <c r="M17" s="6"/>
      <c r="N17" s="6"/>
      <c r="O17" s="6"/>
    </row>
    <row r="18" spans="1:20" s="25" customFormat="1" ht="56.25" customHeight="1" x14ac:dyDescent="0.25">
      <c r="A18" s="19" t="s">
        <v>68</v>
      </c>
      <c r="B18" s="20" t="s">
        <v>16</v>
      </c>
      <c r="C18" s="19" t="s">
        <v>70</v>
      </c>
      <c r="D18" s="19" t="s">
        <v>71</v>
      </c>
      <c r="E18" s="22" t="s">
        <v>41</v>
      </c>
      <c r="F18" s="23" t="s">
        <v>42</v>
      </c>
      <c r="G18" s="24" t="s">
        <v>43</v>
      </c>
      <c r="H18" s="23" t="s">
        <v>44</v>
      </c>
      <c r="I18" s="24" t="s">
        <v>45</v>
      </c>
      <c r="J18" s="23" t="s">
        <v>46</v>
      </c>
      <c r="K18" s="24" t="s">
        <v>47</v>
      </c>
      <c r="L18" s="23" t="s">
        <v>48</v>
      </c>
      <c r="M18" s="24" t="s">
        <v>49</v>
      </c>
      <c r="N18" s="23" t="s">
        <v>50</v>
      </c>
      <c r="O18" s="24" t="s">
        <v>51</v>
      </c>
      <c r="P18" s="23" t="s">
        <v>52</v>
      </c>
      <c r="Q18" s="24" t="s">
        <v>53</v>
      </c>
      <c r="R18" s="23" t="s">
        <v>54</v>
      </c>
      <c r="S18" s="24" t="s">
        <v>55</v>
      </c>
      <c r="T18" s="22" t="s">
        <v>58</v>
      </c>
    </row>
    <row r="19" spans="1:20" x14ac:dyDescent="0.25">
      <c r="B19" s="26"/>
      <c r="C19" s="28"/>
      <c r="D19" s="28"/>
      <c r="E19" s="3">
        <f>+IF(Tableau1510619[[#This Row],[Nombre de 
marchandises]]="",0,Tableau1510619[[#This Row],[Date fin
''Embarquement'']]-Tableau1510619[[#This Row],[Date début
''Réception'']]+1)</f>
        <v>0</v>
      </c>
      <c r="F19" s="29">
        <f>IF(Tableau1510619[[#This Row],[Nombre
jours
total]]&lt;=F$11,Tableau1510619[[#This Row],[Nombre
jours
total]],F$11)</f>
        <v>0</v>
      </c>
      <c r="G19" s="30">
        <f>IFERROR(VLOOKUP(Tableau1510619[[#This Row],[Type]],Tableau6111220[],3,FALSE)*Tableau1510619[[#This Row],[Tranche 1
import
nb jour]]*Tableau1510619[[#This Row],[Nombre de 
marchandises]],0)</f>
        <v>0</v>
      </c>
      <c r="H19" s="29">
        <f>IF(AND(Tableau1510619[[#This Row],[Nombre
jours
total]]&gt;=G$10,Tableau1510619[[#This Row],[Nombre
jours
total]]&lt;=G$11),Tableau1510619[[#This Row],[Nombre
jours
total]]-G$10+1,IF(Tableau1510619[[#This Row],[Nombre
jours
total]]&lt;G$10,0,IF(Tableau1510619[[#This Row],[Nombre
jours
total]]&gt;G$11,G$11-G$10+1)))</f>
        <v>0</v>
      </c>
      <c r="I19" s="31">
        <f>IFERROR(VLOOKUP(Tableau1510619[[#This Row],[Type]],Tableau6111220[],4,FALSE)*Tableau1510619[[#This Row],[Tranche 2
import
nb jour]]*Tableau1510619[[#This Row],[Nombre de 
marchandises]],0)</f>
        <v>0</v>
      </c>
      <c r="J19" s="29">
        <f>IF(AND(Tableau1510619[[#This Row],[Nombre
jours
total]]&gt;=H$10,Tableau1510619[[#This Row],[Nombre
jours
total]]&lt;=H$11),Tableau1510619[[#This Row],[Nombre
jours
total]]-H$10+1,IF(Tableau1510619[[#This Row],[Nombre
jours
total]]&lt;H$10,0,IF(Tableau1510619[[#This Row],[Nombre
jours
total]]&gt;H$11,H$11-H$10+1)))</f>
        <v>0</v>
      </c>
      <c r="K19" s="31">
        <f>IFERROR(VLOOKUP(Tableau1510619[[#This Row],[Type]],Tableau6111220[],5,FALSE)*Tableau1510619[[#This Row],[Tranche 3
import
nb jour]]*Tableau1510619[[#This Row],[Nombre de 
marchandises]],0)</f>
        <v>0</v>
      </c>
      <c r="L19" s="29">
        <f>IF(AND(Tableau1510619[[#This Row],[Nombre
jours
total]]&gt;=I$10,Tableau1510619[[#This Row],[Nombre
jours
total]]&lt;=I$11),Tableau1510619[[#This Row],[Nombre
jours
total]]-I$10+1,IF(Tableau1510619[[#This Row],[Nombre
jours
total]]&lt;I$10,0,IF(Tableau1510619[[#This Row],[Nombre
jours
total]]&gt;I$11,I$11-I$10+1)))</f>
        <v>0</v>
      </c>
      <c r="M19" s="31">
        <f>IFERROR(VLOOKUP(Tableau1510619[[#This Row],[Type]],Tableau6111220[],6,FALSE)*Tableau1510619[[#This Row],[Tranche 4
import
nb jour]]*Tableau1510619[[#This Row],[Nombre de 
marchandises]],0)</f>
        <v>0</v>
      </c>
      <c r="N19" s="29">
        <f>IF(AND(Tableau1510619[[#This Row],[Nombre
jours
total]]&gt;=J$10,Tableau1510619[[#This Row],[Nombre
jours
total]]&lt;=J$11),Tableau1510619[[#This Row],[Nombre
jours
total]]-J$10+1,IF(Tableau1510619[[#This Row],[Nombre
jours
total]]&lt;J$10,0,IF(Tableau1510619[[#This Row],[Nombre
jours
total]]&gt;J$11,J$11-J$10+1)))</f>
        <v>0</v>
      </c>
      <c r="O19" s="31">
        <f>IFERROR(VLOOKUP(Tableau1510619[[#This Row],[Type]],Tableau6111220[],7,FALSE)*Tableau1510619[[#This Row],[Tranche 5
import
nb jour]]*Tableau1510619[[#This Row],[Nombre de 
marchandises]],0)</f>
        <v>0</v>
      </c>
      <c r="P19" s="29">
        <f>IF(AND(Tableau1510619[[#This Row],[Nombre
jours
total]]&gt;=K$10,Tableau1510619[[#This Row],[Nombre
jours
total]]&lt;=K$11),Tableau1510619[[#This Row],[Nombre
jours
total]]-K$10+1,IF(Tableau1510619[[#This Row],[Nombre
jours
total]]&lt;K$10,0,IF(Tableau1510619[[#This Row],[Nombre
jours
total]]&gt;K$11,K$11-K$10+1)))</f>
        <v>0</v>
      </c>
      <c r="Q19" s="31">
        <f>IFERROR(VLOOKUP(Tableau1510619[[#This Row],[Type]],Tableau6111220[],8,FALSE)*Tableau1510619[[#This Row],[Tranche 6
import
nb jour]]*Tableau1510619[[#This Row],[Nombre de 
marchandises]],0)</f>
        <v>0</v>
      </c>
      <c r="R19" s="29">
        <f>IF(AND(Tableau1510619[[#This Row],[Nombre
jours
total]]&gt;=L$10,Tableau1510619[[#This Row],[Nombre
jours
total]]&lt;=L$11),Tableau1510619[[#This Row],[Nombre
jours
total]]-L$10+1,IF(Tableau1510619[[#This Row],[Nombre
jours
total]]&lt;L$10,0,IF(Tableau1510619[[#This Row],[Nombre
jours
total]]&gt;L$11,L$11-L$10+1)))</f>
        <v>0</v>
      </c>
      <c r="S19" s="31">
        <f>IFERROR(VLOOKUP(Tableau1510619[[#This Row],[Type]],Tableau6111220[],9,FALSE)*Tableau1510619[[#This Row],[Tranche 6
import
nb jour]]*Tableau1510619[[#This Row],[Nombre de 
marchandises]],0)</f>
        <v>0</v>
      </c>
      <c r="T19" s="31">
        <f>+Tableau1510619[[#This Row],[Tranche 7
Import
coût]]+Tableau1510619[[#This Row],[Tranche 6
Import
coût]]+Tableau1510619[[#This Row],[Tranche 5
Import
coût]]+Tableau1510619[[#This Row],[Tranche 4
Import
coût]]+Tableau1510619[[#This Row],[Tranche 3
Import
coût]]+Tableau1510619[[#This Row],[Tranche 2
Import
coût]]+Tableau1510619[[#This Row],[Tranche 1
Import
coût]]</f>
        <v>0</v>
      </c>
    </row>
  </sheetData>
  <mergeCells count="6">
    <mergeCell ref="A15:N15"/>
    <mergeCell ref="A1:U1"/>
    <mergeCell ref="A2:U2"/>
    <mergeCell ref="A3:U3"/>
    <mergeCell ref="A4:U4"/>
    <mergeCell ref="A14:N14"/>
  </mergeCells>
  <dataValidations count="1">
    <dataValidation type="list" allowBlank="1" showInputMessage="1" showErrorMessage="1" sqref="B19" xr:uid="{F355F2F4-2546-41C1-8A5E-35BE6EDB743F}">
      <formula1>Marchandise</formula1>
    </dataValidation>
  </dataValidations>
  <pageMargins left="0" right="0" top="0" bottom="0" header="0" footer="0"/>
  <pageSetup paperSize="9" scale="52" orientation="landscape" r:id="rId1"/>
  <tableParts count="2">
    <tablePart r:id="rId2"/>
    <tablePart r:id="rId3"/>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C945C9-DA1B-4FAC-92F7-5E674828E1BC}">
  <sheetPr>
    <tabColor theme="0" tint="-0.249977111117893"/>
    <pageSetUpPr fitToPage="1"/>
  </sheetPr>
  <dimension ref="A1:Z22"/>
  <sheetViews>
    <sheetView showGridLines="0" showZeros="0" zoomScale="85" zoomScaleNormal="85" workbookViewId="0">
      <pane xSplit="6" ySplit="4" topLeftCell="G5" activePane="bottomRight" state="frozen"/>
      <selection sqref="A1:U20"/>
      <selection pane="topRight" sqref="A1:U20"/>
      <selection pane="bottomLeft" sqref="A1:U20"/>
      <selection pane="bottomRight" activeCell="B20" sqref="B20"/>
    </sheetView>
  </sheetViews>
  <sheetFormatPr baseColWidth="10" defaultColWidth="11.42578125" defaultRowHeight="15" x14ac:dyDescent="0.25"/>
  <cols>
    <col min="1" max="1" width="16.42578125" style="17" customWidth="1"/>
    <col min="2" max="2" width="10.7109375" style="17" bestFit="1" customWidth="1"/>
    <col min="3" max="3" width="14" style="17" bestFit="1" customWidth="1"/>
    <col min="4" max="4" width="19" style="17" bestFit="1" customWidth="1"/>
    <col min="5" max="5" width="13.140625" style="17" bestFit="1" customWidth="1"/>
    <col min="6" max="6" width="14.140625" style="2" hidden="1" customWidth="1"/>
    <col min="7" max="7" width="12.42578125" style="2" bestFit="1" customWidth="1"/>
    <col min="8" max="13" width="12.85546875" style="2" bestFit="1" customWidth="1"/>
    <col min="14" max="14" width="12.85546875" style="3" bestFit="1" customWidth="1"/>
    <col min="15" max="23" width="12.85546875" style="2" bestFit="1" customWidth="1"/>
    <col min="24" max="24" width="20.5703125" style="2" customWidth="1"/>
    <col min="25" max="25" width="14.28515625" style="2" hidden="1" customWidth="1"/>
    <col min="26" max="16384" width="11.42578125" style="2"/>
  </cols>
  <sheetData>
    <row r="1" spans="1:25" ht="24" x14ac:dyDescent="0.25">
      <c r="A1" s="40" t="s">
        <v>11</v>
      </c>
      <c r="B1" s="40"/>
      <c r="C1" s="40"/>
      <c r="D1" s="40"/>
      <c r="E1" s="40"/>
      <c r="F1" s="40"/>
      <c r="G1" s="40"/>
      <c r="H1" s="40"/>
      <c r="I1" s="40"/>
      <c r="J1" s="40"/>
      <c r="K1" s="40"/>
      <c r="L1" s="40"/>
      <c r="M1" s="40"/>
      <c r="N1" s="40"/>
      <c r="O1" s="40"/>
      <c r="P1" s="40"/>
      <c r="Q1" s="40"/>
      <c r="R1" s="40"/>
      <c r="S1" s="40"/>
      <c r="T1" s="40"/>
      <c r="U1" s="40"/>
      <c r="V1" s="40"/>
      <c r="W1" s="40"/>
      <c r="X1" s="40"/>
      <c r="Y1" s="40"/>
    </row>
    <row r="2" spans="1:25" ht="24" x14ac:dyDescent="0.25">
      <c r="A2" s="40" t="s">
        <v>12</v>
      </c>
      <c r="B2" s="40"/>
      <c r="C2" s="40"/>
      <c r="D2" s="40"/>
      <c r="E2" s="40"/>
      <c r="F2" s="40"/>
      <c r="G2" s="40"/>
      <c r="H2" s="40"/>
      <c r="I2" s="40"/>
      <c r="J2" s="40"/>
      <c r="K2" s="40"/>
      <c r="L2" s="40"/>
      <c r="M2" s="40"/>
      <c r="N2" s="40"/>
      <c r="O2" s="40"/>
      <c r="P2" s="40"/>
      <c r="Q2" s="40"/>
      <c r="R2" s="40"/>
      <c r="S2" s="40"/>
      <c r="T2" s="40"/>
      <c r="U2" s="40"/>
      <c r="V2" s="40"/>
      <c r="W2" s="40"/>
      <c r="X2" s="40"/>
      <c r="Y2" s="40"/>
    </row>
    <row r="3" spans="1:25" ht="24" x14ac:dyDescent="0.25">
      <c r="A3" s="41" t="s">
        <v>13</v>
      </c>
      <c r="B3" s="41"/>
      <c r="C3" s="41"/>
      <c r="D3" s="41"/>
      <c r="E3" s="41"/>
      <c r="F3" s="41"/>
      <c r="G3" s="41"/>
      <c r="H3" s="41"/>
      <c r="I3" s="41"/>
      <c r="J3" s="41"/>
      <c r="K3" s="41"/>
      <c r="L3" s="41"/>
      <c r="M3" s="41"/>
      <c r="N3" s="41"/>
      <c r="O3" s="41"/>
      <c r="P3" s="41"/>
      <c r="Q3" s="41"/>
      <c r="R3" s="41"/>
      <c r="S3" s="41"/>
      <c r="T3" s="41"/>
      <c r="U3" s="41"/>
      <c r="V3" s="41"/>
      <c r="W3" s="41"/>
      <c r="X3" s="41"/>
      <c r="Y3" s="41"/>
    </row>
    <row r="4" spans="1:25" ht="37.5" customHeight="1" x14ac:dyDescent="0.25">
      <c r="A4" s="42" t="s">
        <v>14</v>
      </c>
      <c r="B4" s="42"/>
      <c r="C4" s="42"/>
      <c r="D4" s="42"/>
      <c r="E4" s="42"/>
      <c r="F4" s="42"/>
      <c r="G4" s="42"/>
      <c r="H4" s="42"/>
      <c r="I4" s="42"/>
      <c r="J4" s="42"/>
      <c r="K4" s="42"/>
      <c r="L4" s="42"/>
      <c r="M4" s="42"/>
      <c r="N4" s="42"/>
      <c r="O4" s="42"/>
      <c r="P4" s="42"/>
      <c r="Q4" s="42"/>
      <c r="R4" s="42"/>
      <c r="S4" s="42"/>
      <c r="T4" s="42"/>
      <c r="U4" s="42"/>
      <c r="V4" s="42"/>
      <c r="W4" s="42"/>
      <c r="X4" s="42"/>
      <c r="Y4" s="42"/>
    </row>
    <row r="5" spans="1:25" x14ac:dyDescent="0.25">
      <c r="A5" s="2"/>
      <c r="B5" s="2"/>
      <c r="C5" s="2"/>
      <c r="D5" s="2"/>
      <c r="E5" s="2"/>
    </row>
    <row r="6" spans="1:25" x14ac:dyDescent="0.25">
      <c r="A6" s="2"/>
      <c r="B6" s="2"/>
      <c r="C6" s="2"/>
      <c r="D6" s="7" t="s">
        <v>15</v>
      </c>
      <c r="E6" s="7" t="s">
        <v>16</v>
      </c>
      <c r="F6" s="2" t="s">
        <v>17</v>
      </c>
      <c r="G6" s="2" t="s">
        <v>18</v>
      </c>
      <c r="H6" s="2" t="s">
        <v>19</v>
      </c>
      <c r="I6" s="2" t="s">
        <v>20</v>
      </c>
      <c r="J6" s="2" t="s">
        <v>21</v>
      </c>
      <c r="K6" s="2" t="s">
        <v>22</v>
      </c>
      <c r="L6" s="2" t="s">
        <v>23</v>
      </c>
      <c r="M6" s="2" t="s">
        <v>24</v>
      </c>
      <c r="N6" s="2" t="s">
        <v>25</v>
      </c>
    </row>
    <row r="7" spans="1:25" x14ac:dyDescent="0.25">
      <c r="A7" s="2"/>
      <c r="B7" s="2"/>
      <c r="C7" s="2"/>
      <c r="D7" s="8" t="s">
        <v>3</v>
      </c>
      <c r="E7" s="8"/>
      <c r="F7" s="8" t="s">
        <v>3</v>
      </c>
      <c r="G7" s="37" t="s">
        <v>26</v>
      </c>
      <c r="H7" s="10">
        <v>28.35</v>
      </c>
      <c r="I7" s="10">
        <v>22.58</v>
      </c>
      <c r="J7" s="10">
        <v>39.380000000000003</v>
      </c>
      <c r="K7" s="10">
        <v>50.4</v>
      </c>
      <c r="L7" s="10">
        <v>72.98</v>
      </c>
      <c r="M7" s="10">
        <v>84</v>
      </c>
      <c r="N7" s="10">
        <v>106.58</v>
      </c>
      <c r="Q7" s="5"/>
      <c r="W7" s="4"/>
    </row>
    <row r="8" spans="1:25" x14ac:dyDescent="0.25">
      <c r="A8" s="2"/>
      <c r="B8" s="2"/>
      <c r="C8" s="2"/>
      <c r="D8" s="8" t="s">
        <v>3</v>
      </c>
      <c r="E8" s="8" t="s">
        <v>27</v>
      </c>
      <c r="F8" s="8" t="s">
        <v>28</v>
      </c>
      <c r="G8" s="37" t="s">
        <v>26</v>
      </c>
      <c r="H8" s="10">
        <f>+H7*2</f>
        <v>56.7</v>
      </c>
      <c r="I8" s="10">
        <f t="shared" ref="I8:N8" si="0">+I7*2</f>
        <v>45.16</v>
      </c>
      <c r="J8" s="10">
        <f t="shared" si="0"/>
        <v>78.760000000000005</v>
      </c>
      <c r="K8" s="10">
        <f t="shared" si="0"/>
        <v>100.8</v>
      </c>
      <c r="L8" s="10">
        <f t="shared" si="0"/>
        <v>145.96</v>
      </c>
      <c r="M8" s="10">
        <f t="shared" si="0"/>
        <v>168</v>
      </c>
      <c r="N8" s="10">
        <f t="shared" si="0"/>
        <v>213.16</v>
      </c>
      <c r="W8" s="4"/>
    </row>
    <row r="9" spans="1:25" x14ac:dyDescent="0.25">
      <c r="A9" s="2"/>
      <c r="B9" s="2"/>
      <c r="C9" s="2"/>
      <c r="D9" s="8" t="s">
        <v>6</v>
      </c>
      <c r="E9" s="8"/>
      <c r="F9" s="8" t="s">
        <v>6</v>
      </c>
      <c r="G9" s="37" t="s">
        <v>26</v>
      </c>
      <c r="H9" s="10">
        <v>45.15</v>
      </c>
      <c r="I9" s="10">
        <v>39.380000000000003</v>
      </c>
      <c r="J9" s="10">
        <v>50.4</v>
      </c>
      <c r="K9" s="10">
        <v>84</v>
      </c>
      <c r="L9" s="10">
        <v>111.83</v>
      </c>
      <c r="M9" s="10">
        <v>128.63</v>
      </c>
      <c r="N9" s="10">
        <v>168</v>
      </c>
      <c r="W9" s="4"/>
    </row>
    <row r="10" spans="1:25" x14ac:dyDescent="0.25">
      <c r="A10" s="2"/>
      <c r="B10" s="2"/>
      <c r="C10" s="2"/>
      <c r="D10" s="8" t="s">
        <v>6</v>
      </c>
      <c r="E10" s="8" t="s">
        <v>27</v>
      </c>
      <c r="F10" s="8" t="s">
        <v>29</v>
      </c>
      <c r="G10" s="37" t="s">
        <v>26</v>
      </c>
      <c r="H10" s="10">
        <f>+H9*2</f>
        <v>90.3</v>
      </c>
      <c r="I10" s="10">
        <f t="shared" ref="I10" si="1">+I9*2</f>
        <v>78.760000000000005</v>
      </c>
      <c r="J10" s="10">
        <f t="shared" ref="J10" si="2">+J9*2</f>
        <v>100.8</v>
      </c>
      <c r="K10" s="10">
        <f t="shared" ref="K10" si="3">+K9*2</f>
        <v>168</v>
      </c>
      <c r="L10" s="10">
        <f t="shared" ref="L10" si="4">+L9*2</f>
        <v>223.66</v>
      </c>
      <c r="M10" s="10">
        <f t="shared" ref="M10" si="5">+M9*2</f>
        <v>257.26</v>
      </c>
      <c r="N10" s="10">
        <f t="shared" ref="N10" si="6">+N9*2</f>
        <v>336</v>
      </c>
      <c r="W10" s="4"/>
    </row>
    <row r="11" spans="1:25" x14ac:dyDescent="0.25">
      <c r="A11" s="2"/>
      <c r="B11" s="2"/>
      <c r="C11" s="2"/>
      <c r="D11" s="8" t="s">
        <v>9</v>
      </c>
      <c r="E11" s="8"/>
      <c r="F11" s="8" t="s">
        <v>9</v>
      </c>
      <c r="G11" s="37" t="s">
        <v>26</v>
      </c>
      <c r="H11" s="10">
        <v>50.79</v>
      </c>
      <c r="I11" s="10">
        <v>44.3</v>
      </c>
      <c r="J11" s="10">
        <v>56.7</v>
      </c>
      <c r="K11" s="10">
        <v>94.5</v>
      </c>
      <c r="L11" s="10">
        <v>125.8</v>
      </c>
      <c r="M11" s="10">
        <v>144.69999999999999</v>
      </c>
      <c r="N11" s="10">
        <v>189</v>
      </c>
      <c r="W11" s="4"/>
    </row>
    <row r="12" spans="1:25" x14ac:dyDescent="0.25">
      <c r="A12" s="2"/>
      <c r="B12" s="2"/>
      <c r="C12" s="2"/>
      <c r="D12" s="8" t="s">
        <v>9</v>
      </c>
      <c r="E12" s="8" t="s">
        <v>27</v>
      </c>
      <c r="F12" s="8" t="s">
        <v>30</v>
      </c>
      <c r="G12" s="37" t="s">
        <v>26</v>
      </c>
      <c r="H12" s="10">
        <f>+H11*2</f>
        <v>101.58</v>
      </c>
      <c r="I12" s="10">
        <f t="shared" ref="I12" si="7">+I11*2</f>
        <v>88.6</v>
      </c>
      <c r="J12" s="10">
        <f t="shared" ref="J12" si="8">+J11*2</f>
        <v>113.4</v>
      </c>
      <c r="K12" s="10">
        <f t="shared" ref="K12" si="9">+K11*2</f>
        <v>189</v>
      </c>
      <c r="L12" s="10">
        <f t="shared" ref="L12" si="10">+L11*2</f>
        <v>251.6</v>
      </c>
      <c r="M12" s="10">
        <f t="shared" ref="M12" si="11">+M11*2</f>
        <v>289.39999999999998</v>
      </c>
      <c r="N12" s="10">
        <f t="shared" ref="N12" si="12">+N11*2</f>
        <v>378</v>
      </c>
      <c r="W12" s="4"/>
    </row>
    <row r="13" spans="1:25" x14ac:dyDescent="0.25">
      <c r="A13" s="2"/>
      <c r="B13" s="2"/>
      <c r="C13" s="2"/>
      <c r="D13" s="16" t="s">
        <v>31</v>
      </c>
      <c r="E13" s="11"/>
      <c r="F13" s="11"/>
      <c r="G13" s="6">
        <v>0</v>
      </c>
      <c r="H13" s="6">
        <f>+G14+1</f>
        <v>6</v>
      </c>
      <c r="I13" s="6">
        <f>+H14+1</f>
        <v>7</v>
      </c>
      <c r="J13" s="6">
        <f t="shared" ref="J13:M13" si="13">+I14+1</f>
        <v>9</v>
      </c>
      <c r="K13" s="6">
        <f t="shared" si="13"/>
        <v>12</v>
      </c>
      <c r="L13" s="6">
        <f t="shared" si="13"/>
        <v>16</v>
      </c>
      <c r="M13" s="6">
        <f t="shared" si="13"/>
        <v>22</v>
      </c>
      <c r="N13" s="6">
        <f>+M14+1</f>
        <v>91</v>
      </c>
      <c r="W13" s="4"/>
    </row>
    <row r="14" spans="1:25" x14ac:dyDescent="0.25">
      <c r="A14" s="2"/>
      <c r="B14" s="2"/>
      <c r="C14" s="2"/>
      <c r="D14" s="16" t="s">
        <v>32</v>
      </c>
      <c r="E14" s="11"/>
      <c r="F14" s="11"/>
      <c r="G14" s="6">
        <v>5</v>
      </c>
      <c r="H14" s="6">
        <v>6</v>
      </c>
      <c r="I14" s="6">
        <v>8</v>
      </c>
      <c r="J14" s="6">
        <v>11</v>
      </c>
      <c r="K14" s="6">
        <v>15</v>
      </c>
      <c r="L14" s="6">
        <v>21</v>
      </c>
      <c r="M14" s="6">
        <v>90</v>
      </c>
      <c r="N14" s="14">
        <v>999999</v>
      </c>
      <c r="W14" s="4"/>
    </row>
    <row r="15" spans="1:25" x14ac:dyDescent="0.25">
      <c r="A15" s="2"/>
      <c r="B15" s="2"/>
      <c r="C15" s="2"/>
      <c r="D15" s="8" t="s">
        <v>33</v>
      </c>
      <c r="E15" s="8"/>
      <c r="F15" s="8"/>
      <c r="G15" s="6">
        <f>+G14</f>
        <v>5</v>
      </c>
      <c r="H15" s="6">
        <f>+H14-H13+1</f>
        <v>1</v>
      </c>
      <c r="I15" s="6">
        <f t="shared" ref="I15:L15" si="14">+I14-I13+1</f>
        <v>2</v>
      </c>
      <c r="J15" s="6">
        <f t="shared" si="14"/>
        <v>3</v>
      </c>
      <c r="K15" s="6">
        <f t="shared" si="14"/>
        <v>4</v>
      </c>
      <c r="L15" s="6">
        <f t="shared" si="14"/>
        <v>6</v>
      </c>
      <c r="M15" s="6">
        <f>+M14-M13+1</f>
        <v>69</v>
      </c>
      <c r="N15" s="15">
        <f>+N14-N13+1</f>
        <v>999909</v>
      </c>
      <c r="W15" s="4"/>
    </row>
    <row r="16" spans="1:25" x14ac:dyDescent="0.25">
      <c r="A16" s="2"/>
      <c r="B16" s="2"/>
      <c r="C16" s="2"/>
      <c r="D16" s="2"/>
      <c r="E16" s="2"/>
      <c r="G16" s="4"/>
      <c r="H16" s="6"/>
      <c r="I16" s="6"/>
      <c r="J16" s="6"/>
      <c r="K16" s="6"/>
      <c r="L16" s="6"/>
      <c r="M16" s="6"/>
      <c r="N16" s="6"/>
      <c r="O16" s="6"/>
      <c r="V16" s="4"/>
    </row>
    <row r="17" spans="1:26" x14ac:dyDescent="0.25">
      <c r="A17" s="39" t="s">
        <v>34</v>
      </c>
      <c r="B17" s="39"/>
      <c r="C17" s="39"/>
      <c r="D17" s="39"/>
      <c r="E17" s="39"/>
      <c r="F17" s="39"/>
      <c r="G17" s="39"/>
      <c r="H17" s="39"/>
      <c r="I17" s="39"/>
      <c r="J17" s="39"/>
      <c r="K17" s="39"/>
      <c r="L17" s="39"/>
      <c r="M17" s="39"/>
      <c r="N17" s="39"/>
      <c r="O17" s="12"/>
      <c r="P17" s="12"/>
      <c r="Q17" s="12"/>
      <c r="R17" s="12"/>
      <c r="S17" s="12"/>
      <c r="T17" s="12"/>
      <c r="U17" s="12"/>
      <c r="V17" s="12"/>
      <c r="W17" s="12"/>
      <c r="X17" s="12"/>
      <c r="Y17" s="12"/>
    </row>
    <row r="18" spans="1:26" ht="15.75" thickBot="1" x14ac:dyDescent="0.3">
      <c r="A18" s="39" t="s">
        <v>35</v>
      </c>
      <c r="B18" s="39"/>
      <c r="C18" s="39"/>
      <c r="D18" s="39"/>
      <c r="E18" s="39"/>
      <c r="F18" s="39"/>
      <c r="G18" s="39"/>
      <c r="H18" s="39"/>
      <c r="I18" s="39"/>
      <c r="J18" s="39"/>
      <c r="K18" s="39"/>
      <c r="L18" s="39"/>
      <c r="M18" s="39"/>
      <c r="N18" s="39"/>
      <c r="O18" s="12"/>
      <c r="P18" s="12"/>
      <c r="Q18" s="12"/>
      <c r="R18" s="12"/>
      <c r="S18" s="12"/>
      <c r="T18" s="12"/>
      <c r="U18" s="12"/>
      <c r="V18" s="12"/>
      <c r="W18" s="12"/>
      <c r="Y18" s="12"/>
    </row>
    <row r="19" spans="1:26" ht="30.75" thickTop="1" x14ac:dyDescent="0.25">
      <c r="A19" s="13" t="s">
        <v>36</v>
      </c>
      <c r="B19" s="12"/>
      <c r="C19" s="12"/>
      <c r="D19" s="12"/>
      <c r="E19" s="12"/>
      <c r="F19" s="12"/>
      <c r="G19" s="12"/>
      <c r="H19" s="12"/>
      <c r="I19" s="12"/>
      <c r="J19" s="12"/>
      <c r="K19" s="12"/>
      <c r="L19" s="12"/>
      <c r="M19" s="12"/>
      <c r="N19" s="12"/>
      <c r="O19" s="12"/>
      <c r="P19" s="12"/>
      <c r="Q19" s="12"/>
      <c r="R19" s="12"/>
      <c r="S19" s="12"/>
      <c r="T19" s="12"/>
      <c r="U19" s="12"/>
      <c r="V19" s="12"/>
      <c r="W19" s="12"/>
      <c r="Y19" s="12"/>
    </row>
    <row r="20" spans="1:26" ht="22.5" customHeight="1" x14ac:dyDescent="0.25">
      <c r="A20" s="18">
        <f>SUBTOTAL(9,Tableau15[Total
Stationnement])</f>
        <v>0</v>
      </c>
      <c r="B20" s="2"/>
      <c r="C20" s="2"/>
      <c r="D20" s="2"/>
      <c r="E20" s="2"/>
      <c r="G20" s="4"/>
      <c r="H20" s="6"/>
      <c r="I20" s="6"/>
      <c r="J20" s="6"/>
      <c r="K20" s="6"/>
      <c r="L20" s="6"/>
      <c r="M20" s="6"/>
      <c r="N20" s="6"/>
      <c r="O20" s="6"/>
      <c r="V20" s="4"/>
    </row>
    <row r="21" spans="1:26" s="25" customFormat="1" ht="56.25" customHeight="1" x14ac:dyDescent="0.25">
      <c r="A21" s="19" t="s">
        <v>37</v>
      </c>
      <c r="B21" s="20" t="s">
        <v>15</v>
      </c>
      <c r="C21" s="20" t="s">
        <v>38</v>
      </c>
      <c r="D21" s="19" t="s">
        <v>39</v>
      </c>
      <c r="E21" s="19" t="s">
        <v>40</v>
      </c>
      <c r="F21" s="21" t="s">
        <v>17</v>
      </c>
      <c r="G21" s="22" t="s">
        <v>41</v>
      </c>
      <c r="H21" s="23" t="s">
        <v>42</v>
      </c>
      <c r="I21" s="24" t="s">
        <v>43</v>
      </c>
      <c r="J21" s="23" t="s">
        <v>44</v>
      </c>
      <c r="K21" s="24" t="s">
        <v>45</v>
      </c>
      <c r="L21" s="23" t="s">
        <v>46</v>
      </c>
      <c r="M21" s="24" t="s">
        <v>47</v>
      </c>
      <c r="N21" s="23" t="s">
        <v>48</v>
      </c>
      <c r="O21" s="24" t="s">
        <v>49</v>
      </c>
      <c r="P21" s="23" t="s">
        <v>50</v>
      </c>
      <c r="Q21" s="24" t="s">
        <v>51</v>
      </c>
      <c r="R21" s="23" t="s">
        <v>52</v>
      </c>
      <c r="S21" s="24" t="s">
        <v>53</v>
      </c>
      <c r="T21" s="23" t="s">
        <v>54</v>
      </c>
      <c r="U21" s="24" t="s">
        <v>55</v>
      </c>
      <c r="V21" s="23" t="s">
        <v>56</v>
      </c>
      <c r="W21" s="24" t="s">
        <v>57</v>
      </c>
      <c r="X21" s="22" t="s">
        <v>58</v>
      </c>
      <c r="Y21" s="21" t="s">
        <v>59</v>
      </c>
      <c r="Z21" s="2"/>
    </row>
    <row r="22" spans="1:26" x14ac:dyDescent="0.25">
      <c r="B22" s="26"/>
      <c r="C22" s="27"/>
      <c r="D22" s="28"/>
      <c r="E22" s="28"/>
      <c r="F22" s="4">
        <f>IF(OR(Tableau15[[#This Row],[Type
OH/DGX]]="DGX",Tableau15[[#This Row],[Type
OH/DGX]]="OH"),CONCATENATE(Tableau15[[#This Row],[Taille]]," ohdgx"),Tableau15[[#This Row],[Taille]])</f>
        <v>0</v>
      </c>
      <c r="G22" s="3">
        <f>IF(Tableau15[[#This Row],[Nombre de 
conteneur]]=0,0,Tableau15[[#This Row],[Date fin
''Livraison'']]-Tableau15[[#This Row],[Date début
''Débarquement'']]+1)</f>
        <v>0</v>
      </c>
      <c r="H22" s="29">
        <f>IF(Tableau15[[#This Row],[Nombre
jours
total]]&lt;=G$14,Tableau15[[#This Row],[Nombre
jours
total]],G$14)</f>
        <v>0</v>
      </c>
      <c r="I22" s="30">
        <f>IFERROR(VLOOKUP(Tableau15[[#This Row],[20/40OH]],Tableau6[[20/40OH]:[tranche 8]],2,FALSE)*Tableau15[[#This Row],[Tranche 1
import
nb jour]]*Tableau15[[#This Row],[Nombre de 
conteneur]],0)</f>
        <v>0</v>
      </c>
      <c r="J22" s="29">
        <f>IF(AND(Tableau15[[#This Row],[Nombre
jours
total]]&gt;=H$13,Tableau15[[#This Row],[Nombre
jours
total]]&lt;=H$14),Tableau15[[#This Row],[Nombre
jours
total]]-H$13+1,IF(Tableau15[[#This Row],[Nombre
jours
total]]&lt;H$13,0,IF(Tableau15[[#This Row],[Nombre
jours
total]]&gt;H$14,H$14-H$13+1)))</f>
        <v>0</v>
      </c>
      <c r="K22" s="31">
        <f>IFERROR(VLOOKUP(Tableau15[[#This Row],[20/40OH]],Tableau6[[20/40OH]:[tranche 8]],3,FALSE)*Tableau15[[#This Row],[Tranche 2
import
nb jour]]*Tableau15[[#This Row],[Nombre de 
conteneur]],0)</f>
        <v>0</v>
      </c>
      <c r="L22" s="29">
        <f>IF(AND(Tableau15[[#This Row],[Nombre
jours
total]]&gt;=I$13,Tableau15[[#This Row],[Nombre
jours
total]]&lt;=I$14),Tableau15[[#This Row],[Nombre
jours
total]]-I$13+1,IF(Tableau15[[#This Row],[Nombre
jours
total]]&lt;I$13,0,IF(Tableau15[[#This Row],[Nombre
jours
total]]&gt;I$14,I$14-I$13+1)))</f>
        <v>0</v>
      </c>
      <c r="M22" s="31">
        <f>IFERROR(VLOOKUP(Tableau15[[#This Row],[20/40OH]],Tableau6[[20/40OH]:[tranche 8]],4,FALSE)*Tableau15[[#This Row],[Tranche 3
import
nb jour]]*Tableau15[[#This Row],[Nombre de 
conteneur]],0)</f>
        <v>0</v>
      </c>
      <c r="N22" s="29">
        <f>IF(AND(Tableau15[[#This Row],[Nombre
jours
total]]&gt;=J$13,Tableau15[[#This Row],[Nombre
jours
total]]&lt;=J$14),Tableau15[[#This Row],[Nombre
jours
total]]-J$13+1,IF(Tableau15[[#This Row],[Nombre
jours
total]]&lt;J$13,0,IF(Tableau15[[#This Row],[Nombre
jours
total]]&gt;J$14,J$14-J$13+1)))</f>
        <v>0</v>
      </c>
      <c r="O22" s="31">
        <f>IFERROR(VLOOKUP(Tableau15[[#This Row],[20/40OH]],Tableau6[[20/40OH]:[tranche 8]],5,FALSE)*Tableau15[[#This Row],[Tranche 4
import
nb jour]]*Tableau15[[#This Row],[Nombre de 
conteneur]],0)</f>
        <v>0</v>
      </c>
      <c r="P22" s="29">
        <f>IF(AND(Tableau15[[#This Row],[Nombre
jours
total]]&gt;=K$13,Tableau15[[#This Row],[Nombre
jours
total]]&lt;=K$14),Tableau15[[#This Row],[Nombre
jours
total]]-K$13+1,IF(Tableau15[[#This Row],[Nombre
jours
total]]&lt;K$13,0,IF(Tableau15[[#This Row],[Nombre
jours
total]]&gt;K$14,K$14-K$13+1)))</f>
        <v>0</v>
      </c>
      <c r="Q22" s="31">
        <f>IFERROR(VLOOKUP(Tableau15[[#This Row],[20/40OH]],Tableau6[[20/40OH]:[tranche 8]],6,FALSE)*Tableau15[[#This Row],[Tranche 5
import
nb jour]]*Tableau15[[#This Row],[Nombre de 
conteneur]],0)</f>
        <v>0</v>
      </c>
      <c r="R22" s="29">
        <f>IF(AND(Tableau15[[#This Row],[Nombre
jours
total]]&gt;=L$13,Tableau15[[#This Row],[Nombre
jours
total]]&lt;=L$14),Tableau15[[#This Row],[Nombre
jours
total]]-L$13+1,IF(Tableau15[[#This Row],[Nombre
jours
total]]&lt;L$13,0,IF(Tableau15[[#This Row],[Nombre
jours
total]]&gt;L$14,L$14-L$13+1)))</f>
        <v>0</v>
      </c>
      <c r="S22" s="31">
        <f>IFERROR(VLOOKUP(Tableau15[[#This Row],[20/40OH]],Tableau6[[20/40OH]:[tranche 8]],7,FALSE)*Tableau15[[#This Row],[Tranche 6
import
nb jour]]*Tableau15[[#This Row],[Nombre de 
conteneur]],0)</f>
        <v>0</v>
      </c>
      <c r="T22" s="29">
        <f>IF(AND(Tableau15[[#This Row],[Nombre
jours
total]]&gt;=M$13,Tableau15[[#This Row],[Nombre
jours
total]]&lt;=M$14),Tableau15[[#This Row],[Nombre
jours
total]]-M$13+1,IF(Tableau15[[#This Row],[Nombre
jours
total]]&lt;M$13,0,IF(Tableau15[[#This Row],[Nombre
jours
total]]&gt;M$14,M$14-M$13+1)))</f>
        <v>0</v>
      </c>
      <c r="U22" s="31">
        <f>IFERROR(VLOOKUP(Tableau15[[#This Row],[20/40OH]],Tableau6[[20/40OH]:[tranche 8]],8,FALSE)*Tableau15[[#This Row],[Tranche 7
import
nb jour]]*Tableau15[[#This Row],[Nombre de 
conteneur]],0)</f>
        <v>0</v>
      </c>
      <c r="V22" s="29">
        <f>IF(AND(Tableau15[[#This Row],[Nombre
jours
total]]&gt;=N$13,Tableau15[[#This Row],[Nombre
jours
total]]&lt;=N$14),Tableau15[[#This Row],[Nombre
jours
total]]-N$13+1,IF(Tableau15[[#This Row],[Nombre
jours
total]]&lt;N$13,0,IF(Tableau15[[#This Row],[Nombre
jours
total]]&gt;N$14,N$14-N$13+1)))</f>
        <v>0</v>
      </c>
      <c r="W22" s="31">
        <f>IFERROR(VLOOKUP(Tableau15[[#This Row],[20/40OH]],Tableau6[[20/40OH]:[tranche 8]],9,FALSE)*Tableau15[[#This Row],[Tranche 8
import
nb jour]]*Tableau15[[#This Row],[Nombre de 
conteneur]],0)</f>
        <v>0</v>
      </c>
      <c r="X22" s="31">
        <f>+Tableau15[[#This Row],[Tranche 8
Import
coût]]+Tableau15[[#This Row],[Tranche 7
Import
coût]]+Tableau15[[#This Row],[Tranche 6
Import
coût]]+Tableau15[[#This Row],[Tranche 5
Import
coût]]+Tableau15[[#This Row],[Tranche 4
Import
coût]]+Tableau15[[#This Row],[Tranche 3
Import
coût]]+Tableau15[[#This Row],[Tranche 2
Import
coût]]</f>
        <v>0</v>
      </c>
      <c r="Y22" s="3">
        <f>+Tableau15[[#This Row],[Tranche 8
import
nb jour]]+Tableau15[[#This Row],[Tranche 7
import
nb jour]]+Tableau15[[#This Row],[Tranche 6
import
nb jour]]+Tableau15[[#This Row],[Tranche 5
import
nb jour]]+Tableau15[[#This Row],[Tranche 4
import
nb jour]]+Tableau15[[#This Row],[Tranche 3
import
nb jour]]+Tableau15[[#This Row],[Tranche 2
import
nb jour]]+Tableau15[[#This Row],[Tranche 1
import
nb jour]]-Tableau15[[#This Row],[Nombre
jours
total]]</f>
        <v>0</v>
      </c>
    </row>
  </sheetData>
  <mergeCells count="6">
    <mergeCell ref="A2:Y2"/>
    <mergeCell ref="A1:Y1"/>
    <mergeCell ref="A4:Y4"/>
    <mergeCell ref="A17:N17"/>
    <mergeCell ref="A18:N18"/>
    <mergeCell ref="A3:Y3"/>
  </mergeCells>
  <phoneticPr fontId="3" type="noConversion"/>
  <dataValidations count="2">
    <dataValidation type="list" allowBlank="1" showInputMessage="1" showErrorMessage="1" sqref="B22" xr:uid="{4F1AE33E-9D3E-4D0F-9C91-9FDB4EF3EBA6}">
      <formula1>longueur</formula1>
    </dataValidation>
    <dataValidation type="list" allowBlank="1" showInputMessage="1" showErrorMessage="1" sqref="C22" xr:uid="{A43FD18E-045C-43B0-87F1-B03A9391C379}">
      <formula1>type</formula1>
    </dataValidation>
  </dataValidations>
  <pageMargins left="0" right="0" top="0" bottom="0" header="0" footer="0"/>
  <pageSetup paperSize="9" scale="46" orientation="landscape" r:id="rId1"/>
  <tableParts count="2">
    <tablePart r:id="rId2"/>
    <tablePart r:id="rId3"/>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840726-7D4E-4583-BFA9-81C0337BCD85}">
  <sheetPr>
    <tabColor theme="0" tint="-0.249977111117893"/>
    <pageSetUpPr fitToPage="1"/>
  </sheetPr>
  <dimension ref="A1:T19"/>
  <sheetViews>
    <sheetView showGridLines="0" showZeros="0" zoomScale="85" zoomScaleNormal="85" workbookViewId="0">
      <pane xSplit="4" ySplit="4" topLeftCell="E5" activePane="bottomRight" state="frozen"/>
      <selection activeCell="O49" sqref="O49"/>
      <selection pane="topRight" activeCell="O49" sqref="O49"/>
      <selection pane="bottomLeft" activeCell="O49" sqref="O49"/>
      <selection pane="bottomRight" activeCell="A19" sqref="A19"/>
    </sheetView>
  </sheetViews>
  <sheetFormatPr baseColWidth="10" defaultColWidth="11.42578125" defaultRowHeight="15" x14ac:dyDescent="0.25"/>
  <cols>
    <col min="1" max="1" width="16.42578125" style="17" customWidth="1"/>
    <col min="2" max="2" width="10.7109375" style="17" bestFit="1" customWidth="1"/>
    <col min="3" max="4" width="17.5703125" style="17" customWidth="1"/>
    <col min="5" max="5" width="13.140625" style="17" bestFit="1" customWidth="1"/>
    <col min="6" max="6" width="14.140625" style="2" customWidth="1"/>
    <col min="7" max="7" width="12.42578125" style="2" bestFit="1" customWidth="1"/>
    <col min="8" max="13" width="12.85546875" style="2" bestFit="1" customWidth="1"/>
    <col min="14" max="14" width="12.85546875" style="3" bestFit="1" customWidth="1"/>
    <col min="15" max="19" width="12.85546875" style="2" bestFit="1" customWidth="1"/>
    <col min="20" max="20" width="17" style="2" customWidth="1"/>
  </cols>
  <sheetData>
    <row r="1" spans="1:20" ht="24" x14ac:dyDescent="0.25">
      <c r="A1" s="40" t="s">
        <v>60</v>
      </c>
      <c r="B1" s="40"/>
      <c r="C1" s="40"/>
      <c r="D1" s="40"/>
      <c r="E1" s="40"/>
      <c r="F1" s="40"/>
      <c r="G1" s="40"/>
      <c r="H1" s="40"/>
      <c r="I1" s="40"/>
      <c r="J1" s="40"/>
      <c r="K1" s="40"/>
      <c r="L1" s="40"/>
      <c r="M1" s="40"/>
      <c r="N1" s="40"/>
      <c r="O1" s="40"/>
      <c r="P1" s="40"/>
      <c r="Q1" s="40"/>
      <c r="R1" s="40"/>
      <c r="S1" s="40"/>
      <c r="T1" s="40"/>
    </row>
    <row r="2" spans="1:20" ht="24" x14ac:dyDescent="0.25">
      <c r="A2" s="40" t="s">
        <v>61</v>
      </c>
      <c r="B2" s="40"/>
      <c r="C2" s="40"/>
      <c r="D2" s="40"/>
      <c r="E2" s="40"/>
      <c r="F2" s="40"/>
      <c r="G2" s="40"/>
      <c r="H2" s="40"/>
      <c r="I2" s="40"/>
      <c r="J2" s="40"/>
      <c r="K2" s="40"/>
      <c r="L2" s="40"/>
      <c r="M2" s="40"/>
      <c r="N2" s="40"/>
      <c r="O2" s="40"/>
      <c r="P2" s="40"/>
      <c r="Q2" s="40"/>
      <c r="R2" s="40"/>
      <c r="S2" s="40"/>
      <c r="T2" s="40"/>
    </row>
    <row r="3" spans="1:20" ht="24" x14ac:dyDescent="0.25">
      <c r="A3" s="38" t="s">
        <v>13</v>
      </c>
      <c r="B3" s="38"/>
      <c r="C3" s="38"/>
      <c r="D3" s="38"/>
      <c r="E3" s="38"/>
      <c r="F3" s="38"/>
      <c r="G3" s="38"/>
      <c r="H3" s="38"/>
      <c r="I3" s="38"/>
      <c r="J3" s="38"/>
      <c r="K3" s="38"/>
      <c r="L3" s="38"/>
      <c r="M3" s="38"/>
      <c r="N3" s="38"/>
      <c r="O3" s="38"/>
      <c r="P3" s="38"/>
      <c r="Q3" s="38"/>
      <c r="R3" s="38"/>
      <c r="S3" s="38"/>
      <c r="T3" s="38"/>
    </row>
    <row r="4" spans="1:20" ht="37.5" customHeight="1" x14ac:dyDescent="0.25">
      <c r="A4" s="42" t="s">
        <v>14</v>
      </c>
      <c r="B4" s="42"/>
      <c r="C4" s="42"/>
      <c r="D4" s="42"/>
      <c r="E4" s="42"/>
      <c r="F4" s="42"/>
      <c r="G4" s="42"/>
      <c r="H4" s="42"/>
      <c r="I4" s="42"/>
      <c r="J4" s="42"/>
      <c r="K4" s="42"/>
      <c r="L4" s="42"/>
      <c r="M4" s="42"/>
      <c r="N4" s="42"/>
      <c r="O4" s="42"/>
      <c r="P4" s="42"/>
      <c r="Q4" s="42"/>
      <c r="R4" s="42"/>
      <c r="S4" s="42"/>
      <c r="T4" s="42"/>
    </row>
    <row r="5" spans="1:20" x14ac:dyDescent="0.25">
      <c r="A5" s="2"/>
      <c r="B5" s="2"/>
      <c r="C5" s="2"/>
      <c r="D5" s="2"/>
      <c r="E5" s="2"/>
    </row>
    <row r="6" spans="1:20" x14ac:dyDescent="0.25">
      <c r="A6" s="2"/>
      <c r="B6" s="2"/>
      <c r="C6" s="2"/>
      <c r="D6" s="7" t="s">
        <v>16</v>
      </c>
      <c r="E6" s="7" t="s">
        <v>62</v>
      </c>
      <c r="F6" s="2" t="s">
        <v>18</v>
      </c>
      <c r="G6" s="2" t="s">
        <v>19</v>
      </c>
      <c r="H6" s="2" t="s">
        <v>20</v>
      </c>
      <c r="I6" s="2" t="s">
        <v>21</v>
      </c>
      <c r="J6" s="2" t="s">
        <v>22</v>
      </c>
      <c r="K6" s="2" t="s">
        <v>23</v>
      </c>
      <c r="L6" s="2" t="s">
        <v>24</v>
      </c>
      <c r="N6" s="2"/>
    </row>
    <row r="7" spans="1:20" ht="75" x14ac:dyDescent="0.25">
      <c r="A7" s="2"/>
      <c r="B7" s="2"/>
      <c r="C7" s="2"/>
      <c r="D7" s="34" t="s">
        <v>5</v>
      </c>
      <c r="E7" s="34" t="s">
        <v>63</v>
      </c>
      <c r="F7" s="10" t="s">
        <v>26</v>
      </c>
      <c r="G7" s="10">
        <v>20.48</v>
      </c>
      <c r="H7" s="10">
        <v>13.65</v>
      </c>
      <c r="I7" s="10">
        <v>18.38</v>
      </c>
      <c r="J7" s="10">
        <v>33.6</v>
      </c>
      <c r="K7" s="10">
        <v>72.98</v>
      </c>
      <c r="L7" s="10">
        <v>95.03</v>
      </c>
      <c r="N7" s="2"/>
      <c r="O7" s="5"/>
    </row>
    <row r="8" spans="1:20" ht="75" x14ac:dyDescent="0.25">
      <c r="A8" s="2"/>
      <c r="B8" s="2"/>
      <c r="C8" s="2"/>
      <c r="D8" s="34" t="s">
        <v>8</v>
      </c>
      <c r="E8" s="34" t="s">
        <v>64</v>
      </c>
      <c r="F8" s="10" t="s">
        <v>26</v>
      </c>
      <c r="G8" s="10">
        <v>50.4</v>
      </c>
      <c r="H8" s="10">
        <v>67.2</v>
      </c>
      <c r="I8" s="10">
        <v>84</v>
      </c>
      <c r="J8" s="10">
        <v>106.58</v>
      </c>
      <c r="K8" s="10">
        <v>151.19999999999999</v>
      </c>
      <c r="L8" s="10">
        <v>195.83</v>
      </c>
      <c r="N8" s="2"/>
    </row>
    <row r="9" spans="1:20" ht="30" x14ac:dyDescent="0.25">
      <c r="A9" s="2"/>
      <c r="B9" s="2"/>
      <c r="C9" s="2"/>
      <c r="D9" s="34" t="s">
        <v>10</v>
      </c>
      <c r="E9" s="34" t="s">
        <v>65</v>
      </c>
      <c r="F9" s="10" t="s">
        <v>26</v>
      </c>
      <c r="G9" s="10">
        <f>+G8*1.5</f>
        <v>75.599999999999994</v>
      </c>
      <c r="H9" s="10">
        <f t="shared" ref="H9:L9" si="0">+H8*1.5</f>
        <v>100.80000000000001</v>
      </c>
      <c r="I9" s="10">
        <f t="shared" si="0"/>
        <v>126</v>
      </c>
      <c r="J9" s="10">
        <f t="shared" si="0"/>
        <v>159.87</v>
      </c>
      <c r="K9" s="10">
        <f t="shared" si="0"/>
        <v>226.79999999999998</v>
      </c>
      <c r="L9" s="10">
        <f t="shared" si="0"/>
        <v>293.745</v>
      </c>
      <c r="N9" s="2"/>
    </row>
    <row r="10" spans="1:20" x14ac:dyDescent="0.25">
      <c r="A10" s="2"/>
      <c r="B10" s="2"/>
      <c r="C10" s="2"/>
      <c r="D10" s="16" t="s">
        <v>31</v>
      </c>
      <c r="E10" s="11"/>
      <c r="F10" s="6">
        <v>0</v>
      </c>
      <c r="G10" s="6">
        <f>+F11+1</f>
        <v>6</v>
      </c>
      <c r="H10" s="6">
        <f>+G11+1</f>
        <v>7</v>
      </c>
      <c r="I10" s="6">
        <f t="shared" ref="I10:L10" si="1">+H11+1</f>
        <v>15</v>
      </c>
      <c r="J10" s="6">
        <f t="shared" si="1"/>
        <v>26</v>
      </c>
      <c r="K10" s="6">
        <f t="shared" si="1"/>
        <v>51</v>
      </c>
      <c r="L10" s="6">
        <f t="shared" si="1"/>
        <v>91</v>
      </c>
      <c r="N10" s="2"/>
    </row>
    <row r="11" spans="1:20" x14ac:dyDescent="0.25">
      <c r="A11" s="2"/>
      <c r="B11" s="2"/>
      <c r="C11" s="2"/>
      <c r="D11" s="16" t="s">
        <v>32</v>
      </c>
      <c r="E11" s="11"/>
      <c r="F11" s="6">
        <v>5</v>
      </c>
      <c r="G11" s="6">
        <v>6</v>
      </c>
      <c r="H11" s="6">
        <v>14</v>
      </c>
      <c r="I11" s="6">
        <v>25</v>
      </c>
      <c r="J11" s="6">
        <v>50</v>
      </c>
      <c r="K11" s="6">
        <v>90</v>
      </c>
      <c r="L11" s="35">
        <v>999999</v>
      </c>
      <c r="N11" s="2"/>
    </row>
    <row r="12" spans="1:20" x14ac:dyDescent="0.25">
      <c r="A12" s="2"/>
      <c r="B12" s="2"/>
      <c r="C12" s="2"/>
      <c r="D12" s="8" t="s">
        <v>33</v>
      </c>
      <c r="E12" s="8"/>
      <c r="F12" s="6">
        <f>+F11</f>
        <v>5</v>
      </c>
      <c r="G12" s="6">
        <f>+G11-G10+1</f>
        <v>1</v>
      </c>
      <c r="H12" s="6">
        <f t="shared" ref="H12:K12" si="2">+H11-H10+1</f>
        <v>8</v>
      </c>
      <c r="I12" s="6">
        <f t="shared" si="2"/>
        <v>11</v>
      </c>
      <c r="J12" s="6">
        <f t="shared" si="2"/>
        <v>25</v>
      </c>
      <c r="K12" s="6">
        <f t="shared" si="2"/>
        <v>40</v>
      </c>
      <c r="L12" s="14">
        <f>+L11-L10+1</f>
        <v>999909</v>
      </c>
      <c r="N12" s="2"/>
    </row>
    <row r="13" spans="1:20" x14ac:dyDescent="0.25">
      <c r="A13" s="2"/>
      <c r="B13" s="2"/>
      <c r="C13" s="2"/>
      <c r="D13" s="2"/>
      <c r="E13" s="2"/>
      <c r="G13" s="4"/>
      <c r="H13" s="6"/>
      <c r="I13" s="6"/>
      <c r="J13" s="6"/>
      <c r="K13" s="6"/>
      <c r="L13" s="6"/>
      <c r="M13" s="6"/>
      <c r="N13" s="6"/>
      <c r="O13" s="6"/>
    </row>
    <row r="14" spans="1:20" x14ac:dyDescent="0.25">
      <c r="A14" s="39" t="s">
        <v>66</v>
      </c>
      <c r="B14" s="39"/>
      <c r="C14" s="39"/>
      <c r="D14" s="39"/>
      <c r="E14" s="39"/>
      <c r="F14" s="39"/>
      <c r="G14" s="39"/>
      <c r="H14" s="39"/>
      <c r="I14" s="39"/>
      <c r="J14" s="39"/>
      <c r="K14" s="39"/>
      <c r="L14" s="39"/>
      <c r="M14" s="39"/>
      <c r="N14" s="39"/>
      <c r="O14" s="12"/>
      <c r="P14" s="12"/>
      <c r="Q14" s="12"/>
      <c r="R14" s="12"/>
      <c r="S14" s="12"/>
      <c r="T14" s="12"/>
    </row>
    <row r="15" spans="1:20" x14ac:dyDescent="0.25">
      <c r="A15" s="39" t="s">
        <v>67</v>
      </c>
      <c r="B15" s="39"/>
      <c r="C15" s="39"/>
      <c r="D15" s="39"/>
      <c r="E15" s="39"/>
      <c r="F15" s="39"/>
      <c r="G15" s="39"/>
      <c r="H15" s="39"/>
      <c r="I15" s="39"/>
      <c r="J15" s="39"/>
      <c r="K15" s="39"/>
      <c r="L15" s="39"/>
      <c r="M15" s="39"/>
      <c r="N15" s="39"/>
      <c r="O15" s="12"/>
      <c r="P15" s="12"/>
      <c r="Q15" s="12"/>
      <c r="R15" s="12"/>
      <c r="S15" s="12"/>
      <c r="T15" s="12"/>
    </row>
    <row r="16" spans="1:20" ht="30" x14ac:dyDescent="0.25">
      <c r="A16" s="13" t="s">
        <v>36</v>
      </c>
      <c r="B16" s="12"/>
      <c r="C16" s="12"/>
      <c r="D16" s="12"/>
      <c r="E16" s="12"/>
      <c r="F16" s="12"/>
      <c r="G16" s="12"/>
      <c r="H16" s="12"/>
      <c r="I16" s="12"/>
      <c r="J16" s="12"/>
      <c r="K16" s="12"/>
      <c r="L16" s="12"/>
      <c r="M16" s="12"/>
      <c r="N16" s="12"/>
      <c r="O16" s="12"/>
      <c r="P16" s="12"/>
      <c r="Q16" s="12"/>
      <c r="R16" s="12"/>
      <c r="S16" s="12"/>
      <c r="T16" s="12"/>
    </row>
    <row r="17" spans="1:20" ht="22.5" customHeight="1" x14ac:dyDescent="0.25">
      <c r="A17" s="18">
        <f>SUBTOTAL(9,Tableau1510[Total
Stationnement])</f>
        <v>0</v>
      </c>
      <c r="B17" s="2"/>
      <c r="C17" s="2"/>
      <c r="D17" s="2"/>
      <c r="E17" s="2"/>
      <c r="G17" s="4"/>
      <c r="H17" s="6"/>
      <c r="I17" s="6"/>
      <c r="J17" s="6"/>
      <c r="K17" s="6"/>
      <c r="L17" s="6"/>
      <c r="M17" s="6"/>
      <c r="N17" s="6"/>
      <c r="O17" s="6"/>
    </row>
    <row r="18" spans="1:20" ht="56.25" customHeight="1" x14ac:dyDescent="0.25">
      <c r="A18" s="19" t="s">
        <v>68</v>
      </c>
      <c r="B18" s="20" t="s">
        <v>16</v>
      </c>
      <c r="C18" s="19" t="s">
        <v>39</v>
      </c>
      <c r="D18" s="19" t="s">
        <v>40</v>
      </c>
      <c r="E18" s="22" t="s">
        <v>41</v>
      </c>
      <c r="F18" s="23" t="s">
        <v>42</v>
      </c>
      <c r="G18" s="24" t="s">
        <v>43</v>
      </c>
      <c r="H18" s="23" t="s">
        <v>44</v>
      </c>
      <c r="I18" s="24" t="s">
        <v>45</v>
      </c>
      <c r="J18" s="23" t="s">
        <v>46</v>
      </c>
      <c r="K18" s="24" t="s">
        <v>47</v>
      </c>
      <c r="L18" s="23" t="s">
        <v>48</v>
      </c>
      <c r="M18" s="24" t="s">
        <v>49</v>
      </c>
      <c r="N18" s="23" t="s">
        <v>50</v>
      </c>
      <c r="O18" s="24" t="s">
        <v>51</v>
      </c>
      <c r="P18" s="23" t="s">
        <v>52</v>
      </c>
      <c r="Q18" s="24" t="s">
        <v>53</v>
      </c>
      <c r="R18" s="23" t="s">
        <v>54</v>
      </c>
      <c r="S18" s="24" t="s">
        <v>55</v>
      </c>
      <c r="T18" s="22" t="s">
        <v>58</v>
      </c>
    </row>
    <row r="19" spans="1:20" x14ac:dyDescent="0.25">
      <c r="B19" s="26"/>
      <c r="C19" s="28"/>
      <c r="D19" s="28"/>
      <c r="E19" s="3">
        <f>+IF(Tableau1510[[#This Row],[Nombre de 
marchandises]]="",0,Tableau1510[[#This Row],[Date fin
''Livraison'']]-Tableau1510[[#This Row],[Date début
''Débarquement'']]+1)</f>
        <v>0</v>
      </c>
      <c r="F19" s="29">
        <f>IF(Tableau1510[[#This Row],[Nombre
jours
total]]&lt;=F$11,Tableau1510[[#This Row],[Nombre
jours
total]],F$11)</f>
        <v>0</v>
      </c>
      <c r="G19" s="30">
        <f>IFERROR(VLOOKUP(Tableau1510[[#This Row],[Type]],Tableau611[],3,FALSE)*Tableau1510[[#This Row],[Tranche 1
import
nb jour]]*Tableau1510[[#This Row],[Nombre de 
marchandises]],0)</f>
        <v>0</v>
      </c>
      <c r="H19" s="29">
        <f>IF(AND(Tableau1510[[#This Row],[Nombre
jours
total]]&gt;=G$10,Tableau1510[[#This Row],[Nombre
jours
total]]&lt;=G$11),Tableau1510[[#This Row],[Nombre
jours
total]]-G$10+1,IF(Tableau1510[[#This Row],[Nombre
jours
total]]&lt;G$10,0,IF(Tableau1510[[#This Row],[Nombre
jours
total]]&gt;G$11,G$11-G$10+1)))</f>
        <v>0</v>
      </c>
      <c r="I19" s="31">
        <f>IFERROR(VLOOKUP(Tableau1510[[#This Row],[Type]],Tableau611[],4,FALSE)*Tableau1510[[#This Row],[Tranche 2
import
nb jour]]*Tableau1510[[#This Row],[Nombre de 
marchandises]],0)</f>
        <v>0</v>
      </c>
      <c r="J19" s="29">
        <f>IF(AND(Tableau1510[[#This Row],[Nombre
jours
total]]&gt;=H$10,Tableau1510[[#This Row],[Nombre
jours
total]]&lt;=H$11),Tableau1510[[#This Row],[Nombre
jours
total]]-H$10+1,IF(Tableau1510[[#This Row],[Nombre
jours
total]]&lt;H$10,0,IF(Tableau1510[[#This Row],[Nombre
jours
total]]&gt;H$11,H$11-H$10+1)))</f>
        <v>0</v>
      </c>
      <c r="K19" s="31">
        <f>IFERROR(VLOOKUP(Tableau1510[[#This Row],[Type]],Tableau611[],5,FALSE)*Tableau1510[[#This Row],[Tranche 3
import
nb jour]]*Tableau1510[[#This Row],[Nombre de 
marchandises]],0)</f>
        <v>0</v>
      </c>
      <c r="L19" s="29">
        <f>IF(AND(Tableau1510[[#This Row],[Nombre
jours
total]]&gt;=I$10,Tableau1510[[#This Row],[Nombre
jours
total]]&lt;=I$11),Tableau1510[[#This Row],[Nombre
jours
total]]-I$10+1,IF(Tableau1510[[#This Row],[Nombre
jours
total]]&lt;I$10,0,IF(Tableau1510[[#This Row],[Nombre
jours
total]]&gt;I$11,I$11-I$10+1)))</f>
        <v>0</v>
      </c>
      <c r="M19" s="31">
        <f>IFERROR(VLOOKUP(Tableau1510[[#This Row],[Type]],Tableau611[],6,FALSE)*Tableau1510[[#This Row],[Tranche 4
import
nb jour]]*Tableau1510[[#This Row],[Nombre de 
marchandises]],0)</f>
        <v>0</v>
      </c>
      <c r="N19" s="29">
        <f>IF(AND(Tableau1510[[#This Row],[Nombre
jours
total]]&gt;=J$10,Tableau1510[[#This Row],[Nombre
jours
total]]&lt;=J$11),Tableau1510[[#This Row],[Nombre
jours
total]]-J$10+1,IF(Tableau1510[[#This Row],[Nombre
jours
total]]&lt;J$10,0,IF(Tableau1510[[#This Row],[Nombre
jours
total]]&gt;J$11,J$11-J$10+1)))</f>
        <v>0</v>
      </c>
      <c r="O19" s="31">
        <f>IFERROR(VLOOKUP(Tableau1510[[#This Row],[Type]],Tableau611[],7,FALSE)*Tableau1510[[#This Row],[Tranche 5
import
nb jour]]*Tableau1510[[#This Row],[Nombre de 
marchandises]],0)</f>
        <v>0</v>
      </c>
      <c r="P19" s="29">
        <f>IF(AND(Tableau1510[[#This Row],[Nombre
jours
total]]&gt;=K$10,Tableau1510[[#This Row],[Nombre
jours
total]]&lt;=K$11),Tableau1510[[#This Row],[Nombre
jours
total]]-K$10+1,IF(Tableau1510[[#This Row],[Nombre
jours
total]]&lt;K$10,0,IF(Tableau1510[[#This Row],[Nombre
jours
total]]&gt;K$11,K$11-K$10+1)))</f>
        <v>0</v>
      </c>
      <c r="Q19" s="31">
        <f>IFERROR(VLOOKUP(Tableau1510[[#This Row],[Type]],Tableau611[],8,FALSE)*Tableau1510[[#This Row],[Tranche 6
import
nb jour]]*Tableau1510[[#This Row],[Nombre de 
marchandises]],0)</f>
        <v>0</v>
      </c>
      <c r="R19" s="29">
        <f>IF(AND(Tableau1510[[#This Row],[Nombre
jours
total]]&gt;=L$10,Tableau1510[[#This Row],[Nombre
jours
total]]&lt;=L$11),Tableau1510[[#This Row],[Nombre
jours
total]]-L$10+1,IF(Tableau1510[[#This Row],[Nombre
jours
total]]&lt;L$10,0,IF(Tableau1510[[#This Row],[Nombre
jours
total]]&gt;L$11,L$11-L$10+1)))</f>
        <v>0</v>
      </c>
      <c r="S19" s="31">
        <f>IFERROR(VLOOKUP(Tableau1510[[#This Row],[Type]],Tableau611[],9,FALSE)*Tableau1510[[#This Row],[Tranche 6
import
nb jour]]*Tableau1510[[#This Row],[Nombre de 
marchandises]],0)</f>
        <v>0</v>
      </c>
      <c r="T19" s="31">
        <f>+Tableau1510[[#This Row],[Tranche 7
Import
coût]]+Tableau1510[[#This Row],[Tranche 6
Import
coût]]+Tableau1510[[#This Row],[Tranche 5
Import
coût]]+Tableau1510[[#This Row],[Tranche 4
Import
coût]]+Tableau1510[[#This Row],[Tranche 3
Import
coût]]+Tableau1510[[#This Row],[Tranche 2
Import
coût]]+Tableau1510[[#This Row],[Tranche 1
Import
coût]]</f>
        <v>0</v>
      </c>
    </row>
  </sheetData>
  <mergeCells count="5">
    <mergeCell ref="A1:T1"/>
    <mergeCell ref="A2:T2"/>
    <mergeCell ref="A4:T4"/>
    <mergeCell ref="A14:N14"/>
    <mergeCell ref="A15:N15"/>
  </mergeCells>
  <dataValidations count="1">
    <dataValidation type="list" allowBlank="1" showInputMessage="1" showErrorMessage="1" sqref="B19" xr:uid="{ED1022B1-69DA-4CF2-8013-B409D38A41FC}">
      <formula1>Marchandise</formula1>
    </dataValidation>
  </dataValidations>
  <pageMargins left="0" right="0" top="0" bottom="0" header="0" footer="0"/>
  <pageSetup paperSize="9" scale="52" orientation="landscape" r:id="rId1"/>
  <tableParts count="2">
    <tablePart r:id="rId2"/>
    <tablePart r:id="rId3"/>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80BB45-C67D-4D84-B027-06847BEE32B1}">
  <sheetPr>
    <tabColor theme="0" tint="-0.249977111117893"/>
    <pageSetUpPr fitToPage="1"/>
  </sheetPr>
  <dimension ref="A1:Z22"/>
  <sheetViews>
    <sheetView showGridLines="0" showZeros="0" zoomScale="85" zoomScaleNormal="85" workbookViewId="0">
      <pane xSplit="6" ySplit="4" topLeftCell="G5" activePane="bottomRight" state="frozen"/>
      <selection activeCell="O49" sqref="O49"/>
      <selection pane="topRight" activeCell="O49" sqref="O49"/>
      <selection pane="bottomLeft" activeCell="O49" sqref="O49"/>
      <selection pane="bottomRight" activeCell="A22" sqref="A22"/>
    </sheetView>
  </sheetViews>
  <sheetFormatPr baseColWidth="10" defaultColWidth="11.42578125" defaultRowHeight="15" x14ac:dyDescent="0.25"/>
  <cols>
    <col min="1" max="1" width="16.42578125" style="17" customWidth="1"/>
    <col min="2" max="2" width="10.7109375" style="17" bestFit="1" customWidth="1"/>
    <col min="3" max="3" width="14" style="17" bestFit="1" customWidth="1"/>
    <col min="4" max="5" width="18.42578125" style="17" customWidth="1"/>
    <col min="6" max="6" width="14.140625" style="2" hidden="1" customWidth="1"/>
    <col min="7" max="7" width="12.42578125" style="2" bestFit="1" customWidth="1"/>
    <col min="8" max="13" width="12.85546875" style="2" bestFit="1" customWidth="1"/>
    <col min="14" max="14" width="12.85546875" style="3" bestFit="1" customWidth="1"/>
    <col min="15" max="23" width="12.85546875" style="2" bestFit="1" customWidth="1"/>
    <col min="24" max="24" width="20.5703125" style="2" customWidth="1"/>
    <col min="25" max="25" width="14.28515625" style="2" hidden="1" customWidth="1"/>
    <col min="26" max="16384" width="11.42578125" style="2"/>
  </cols>
  <sheetData>
    <row r="1" spans="1:25" ht="24" x14ac:dyDescent="0.25">
      <c r="A1" s="40" t="s">
        <v>60</v>
      </c>
      <c r="B1" s="40"/>
      <c r="C1" s="40"/>
      <c r="D1" s="40"/>
      <c r="E1" s="40"/>
      <c r="F1" s="40"/>
      <c r="G1" s="40"/>
      <c r="H1" s="40"/>
      <c r="I1" s="40"/>
      <c r="J1" s="40"/>
      <c r="K1" s="40"/>
      <c r="L1" s="40"/>
      <c r="M1" s="40"/>
      <c r="N1" s="40"/>
      <c r="O1" s="40"/>
      <c r="P1" s="40"/>
      <c r="Q1" s="40"/>
      <c r="R1" s="40"/>
      <c r="S1" s="40"/>
      <c r="T1" s="40"/>
      <c r="U1" s="40"/>
      <c r="V1" s="40"/>
      <c r="W1" s="40"/>
      <c r="X1" s="40"/>
      <c r="Y1" s="40"/>
    </row>
    <row r="2" spans="1:25" ht="51.75" customHeight="1" x14ac:dyDescent="0.25">
      <c r="A2" s="43" t="s">
        <v>69</v>
      </c>
      <c r="B2" s="40"/>
      <c r="C2" s="40"/>
      <c r="D2" s="40"/>
      <c r="E2" s="40"/>
      <c r="F2" s="40"/>
      <c r="G2" s="40"/>
      <c r="H2" s="40"/>
      <c r="I2" s="40"/>
      <c r="J2" s="40"/>
      <c r="K2" s="40"/>
      <c r="L2" s="40"/>
      <c r="M2" s="40"/>
      <c r="N2" s="40"/>
      <c r="O2" s="40"/>
      <c r="P2" s="40"/>
      <c r="Q2" s="40"/>
      <c r="R2" s="40"/>
      <c r="S2" s="40"/>
      <c r="T2" s="40"/>
      <c r="U2" s="40"/>
      <c r="V2" s="40"/>
      <c r="W2" s="40"/>
      <c r="X2" s="40"/>
      <c r="Y2" s="40"/>
    </row>
    <row r="3" spans="1:25" s="36" customFormat="1" ht="24" x14ac:dyDescent="0.25">
      <c r="A3" s="41" t="s">
        <v>13</v>
      </c>
      <c r="B3" s="41"/>
      <c r="C3" s="41"/>
      <c r="D3" s="41"/>
      <c r="E3" s="41"/>
      <c r="F3" s="41"/>
      <c r="G3" s="41"/>
      <c r="H3" s="41"/>
      <c r="I3" s="41"/>
      <c r="J3" s="41"/>
      <c r="K3" s="41"/>
      <c r="L3" s="41"/>
      <c r="M3" s="41"/>
      <c r="N3" s="41"/>
      <c r="O3" s="41"/>
      <c r="P3" s="41"/>
      <c r="Q3" s="41"/>
      <c r="R3" s="41"/>
      <c r="S3" s="41"/>
      <c r="T3" s="41"/>
      <c r="U3" s="41"/>
      <c r="V3" s="41"/>
      <c r="W3" s="41"/>
      <c r="X3" s="41"/>
      <c r="Y3" s="41"/>
    </row>
    <row r="4" spans="1:25" ht="37.5" customHeight="1" x14ac:dyDescent="0.25">
      <c r="A4" s="42" t="s">
        <v>14</v>
      </c>
      <c r="B4" s="42"/>
      <c r="C4" s="42"/>
      <c r="D4" s="42"/>
      <c r="E4" s="42"/>
      <c r="F4" s="42"/>
      <c r="G4" s="42"/>
      <c r="H4" s="42"/>
      <c r="I4" s="42"/>
      <c r="J4" s="42"/>
      <c r="K4" s="42"/>
      <c r="L4" s="42"/>
      <c r="M4" s="42"/>
      <c r="N4" s="42"/>
      <c r="O4" s="42"/>
      <c r="P4" s="42"/>
      <c r="Q4" s="42"/>
      <c r="R4" s="42"/>
      <c r="S4" s="42"/>
      <c r="T4" s="42"/>
      <c r="U4" s="42"/>
      <c r="V4" s="42"/>
      <c r="W4" s="42"/>
      <c r="X4" s="42"/>
      <c r="Y4" s="42"/>
    </row>
    <row r="5" spans="1:25" x14ac:dyDescent="0.25">
      <c r="A5" s="2"/>
      <c r="B5" s="2"/>
      <c r="C5" s="2"/>
      <c r="D5" s="2"/>
      <c r="E5" s="2"/>
    </row>
    <row r="6" spans="1:25" x14ac:dyDescent="0.25">
      <c r="A6" s="2"/>
      <c r="B6" s="2"/>
      <c r="C6" s="2"/>
      <c r="D6" s="7" t="s">
        <v>15</v>
      </c>
      <c r="E6" s="7" t="s">
        <v>16</v>
      </c>
      <c r="F6" s="2" t="s">
        <v>17</v>
      </c>
      <c r="G6" s="2" t="s">
        <v>18</v>
      </c>
      <c r="H6" s="2" t="s">
        <v>19</v>
      </c>
      <c r="I6" s="2" t="s">
        <v>20</v>
      </c>
      <c r="J6" s="2" t="s">
        <v>21</v>
      </c>
      <c r="K6" s="2" t="s">
        <v>22</v>
      </c>
      <c r="L6" s="2" t="s">
        <v>23</v>
      </c>
      <c r="M6" s="2" t="s">
        <v>24</v>
      </c>
      <c r="N6" s="2" t="s">
        <v>25</v>
      </c>
    </row>
    <row r="7" spans="1:25" x14ac:dyDescent="0.25">
      <c r="A7" s="2"/>
      <c r="B7" s="2"/>
      <c r="C7" s="2"/>
      <c r="D7" s="8" t="s">
        <v>3</v>
      </c>
      <c r="E7" s="8"/>
      <c r="F7" s="8" t="s">
        <v>3</v>
      </c>
      <c r="G7" s="9" t="s">
        <v>26</v>
      </c>
      <c r="H7" s="10">
        <v>5.78</v>
      </c>
      <c r="I7" s="10">
        <v>10.5</v>
      </c>
      <c r="J7" s="10">
        <v>11.55</v>
      </c>
      <c r="K7" s="10">
        <v>16.8</v>
      </c>
      <c r="L7" s="10">
        <v>45.15</v>
      </c>
      <c r="M7" s="10">
        <v>78.23</v>
      </c>
      <c r="N7" s="10">
        <v>100.8</v>
      </c>
      <c r="Q7" s="5"/>
      <c r="W7" s="4"/>
    </row>
    <row r="8" spans="1:25" x14ac:dyDescent="0.25">
      <c r="A8" s="2"/>
      <c r="B8" s="2"/>
      <c r="C8" s="2"/>
      <c r="D8" s="8" t="s">
        <v>3</v>
      </c>
      <c r="E8" s="8" t="s">
        <v>27</v>
      </c>
      <c r="F8" s="8" t="s">
        <v>28</v>
      </c>
      <c r="G8" s="9" t="s">
        <v>26</v>
      </c>
      <c r="H8" s="10">
        <f>+H7*2</f>
        <v>11.56</v>
      </c>
      <c r="I8" s="10">
        <f t="shared" ref="I8:N8" si="0">+I7*2</f>
        <v>21</v>
      </c>
      <c r="J8" s="10">
        <f t="shared" si="0"/>
        <v>23.1</v>
      </c>
      <c r="K8" s="10">
        <f t="shared" si="0"/>
        <v>33.6</v>
      </c>
      <c r="L8" s="10">
        <f t="shared" si="0"/>
        <v>90.3</v>
      </c>
      <c r="M8" s="10">
        <f t="shared" si="0"/>
        <v>156.46</v>
      </c>
      <c r="N8" s="10">
        <f t="shared" si="0"/>
        <v>201.6</v>
      </c>
      <c r="W8" s="4"/>
    </row>
    <row r="9" spans="1:25" x14ac:dyDescent="0.25">
      <c r="A9" s="2"/>
      <c r="B9" s="2"/>
      <c r="C9" s="2"/>
      <c r="D9" s="8" t="s">
        <v>6</v>
      </c>
      <c r="E9" s="8"/>
      <c r="F9" s="8" t="s">
        <v>6</v>
      </c>
      <c r="G9" s="9" t="s">
        <v>26</v>
      </c>
      <c r="H9" s="10">
        <v>11.55</v>
      </c>
      <c r="I9" s="10">
        <v>13.65</v>
      </c>
      <c r="J9" s="10">
        <v>16.8</v>
      </c>
      <c r="K9" s="10">
        <v>33.6</v>
      </c>
      <c r="L9" s="10">
        <v>100.8</v>
      </c>
      <c r="M9" s="10">
        <v>123.38</v>
      </c>
      <c r="N9" s="10">
        <v>162.22999999999999</v>
      </c>
      <c r="W9" s="4"/>
    </row>
    <row r="10" spans="1:25" x14ac:dyDescent="0.25">
      <c r="A10" s="2"/>
      <c r="B10" s="2"/>
      <c r="C10" s="2"/>
      <c r="D10" s="8" t="s">
        <v>6</v>
      </c>
      <c r="E10" s="8" t="s">
        <v>27</v>
      </c>
      <c r="F10" s="8" t="s">
        <v>29</v>
      </c>
      <c r="G10" s="9" t="s">
        <v>26</v>
      </c>
      <c r="H10" s="10">
        <f>+H9*2</f>
        <v>23.1</v>
      </c>
      <c r="I10" s="10">
        <f t="shared" ref="I10:N10" si="1">+I9*2</f>
        <v>27.3</v>
      </c>
      <c r="J10" s="10">
        <f t="shared" si="1"/>
        <v>33.6</v>
      </c>
      <c r="K10" s="10">
        <f t="shared" si="1"/>
        <v>67.2</v>
      </c>
      <c r="L10" s="10">
        <f t="shared" si="1"/>
        <v>201.6</v>
      </c>
      <c r="M10" s="10">
        <f t="shared" si="1"/>
        <v>246.76</v>
      </c>
      <c r="N10" s="10">
        <f t="shared" si="1"/>
        <v>324.45999999999998</v>
      </c>
      <c r="W10" s="4"/>
    </row>
    <row r="11" spans="1:25" x14ac:dyDescent="0.25">
      <c r="A11" s="2"/>
      <c r="B11" s="2"/>
      <c r="C11" s="2"/>
      <c r="D11" s="8" t="s">
        <v>9</v>
      </c>
      <c r="E11" s="8"/>
      <c r="F11" s="8" t="s">
        <v>9</v>
      </c>
      <c r="G11" s="9" t="s">
        <v>26</v>
      </c>
      <c r="H11" s="10">
        <v>12.99</v>
      </c>
      <c r="I11" s="10">
        <v>15.36</v>
      </c>
      <c r="J11" s="10">
        <v>18.899999999999999</v>
      </c>
      <c r="K11" s="10">
        <v>37.799999999999997</v>
      </c>
      <c r="L11" s="10">
        <v>113.4</v>
      </c>
      <c r="M11" s="10">
        <v>138.80000000000001</v>
      </c>
      <c r="N11" s="10">
        <v>182.5</v>
      </c>
      <c r="W11" s="4"/>
    </row>
    <row r="12" spans="1:25" x14ac:dyDescent="0.25">
      <c r="A12" s="2"/>
      <c r="B12" s="2"/>
      <c r="C12" s="2"/>
      <c r="D12" s="8" t="s">
        <v>9</v>
      </c>
      <c r="E12" s="8" t="s">
        <v>27</v>
      </c>
      <c r="F12" s="8" t="s">
        <v>30</v>
      </c>
      <c r="G12" s="9" t="s">
        <v>26</v>
      </c>
      <c r="H12" s="10">
        <f>+H11*2</f>
        <v>25.98</v>
      </c>
      <c r="I12" s="10">
        <f t="shared" ref="I12:N12" si="2">+I11*2</f>
        <v>30.72</v>
      </c>
      <c r="J12" s="10">
        <f t="shared" si="2"/>
        <v>37.799999999999997</v>
      </c>
      <c r="K12" s="10">
        <f t="shared" si="2"/>
        <v>75.599999999999994</v>
      </c>
      <c r="L12" s="10">
        <f t="shared" si="2"/>
        <v>226.8</v>
      </c>
      <c r="M12" s="10">
        <f t="shared" si="2"/>
        <v>277.60000000000002</v>
      </c>
      <c r="N12" s="10">
        <f t="shared" si="2"/>
        <v>365</v>
      </c>
      <c r="W12" s="4"/>
    </row>
    <row r="13" spans="1:25" x14ac:dyDescent="0.25">
      <c r="A13" s="2"/>
      <c r="B13" s="2"/>
      <c r="C13" s="2"/>
      <c r="D13" s="16" t="s">
        <v>31</v>
      </c>
      <c r="E13" s="11"/>
      <c r="F13" s="11"/>
      <c r="G13" s="6">
        <v>0</v>
      </c>
      <c r="H13" s="6">
        <f>+G14+1</f>
        <v>9</v>
      </c>
      <c r="I13" s="6">
        <f>+H14+1</f>
        <v>11</v>
      </c>
      <c r="J13" s="6">
        <f t="shared" ref="J13:M13" si="3">+I14+1</f>
        <v>16</v>
      </c>
      <c r="K13" s="6">
        <f t="shared" si="3"/>
        <v>22</v>
      </c>
      <c r="L13" s="6">
        <f t="shared" si="3"/>
        <v>35</v>
      </c>
      <c r="M13" s="6">
        <f t="shared" si="3"/>
        <v>45</v>
      </c>
      <c r="N13" s="6">
        <f>+M14+1</f>
        <v>91</v>
      </c>
      <c r="W13" s="4"/>
    </row>
    <row r="14" spans="1:25" x14ac:dyDescent="0.25">
      <c r="A14" s="2"/>
      <c r="B14" s="2"/>
      <c r="C14" s="2"/>
      <c r="D14" s="16" t="s">
        <v>32</v>
      </c>
      <c r="E14" s="11"/>
      <c r="F14" s="11"/>
      <c r="G14" s="6">
        <v>8</v>
      </c>
      <c r="H14" s="6">
        <v>10</v>
      </c>
      <c r="I14" s="6">
        <v>15</v>
      </c>
      <c r="J14" s="6">
        <v>21</v>
      </c>
      <c r="K14" s="6">
        <v>34</v>
      </c>
      <c r="L14" s="6">
        <v>44</v>
      </c>
      <c r="M14" s="6">
        <v>90</v>
      </c>
      <c r="N14" s="14">
        <v>999999</v>
      </c>
      <c r="W14" s="4"/>
    </row>
    <row r="15" spans="1:25" x14ac:dyDescent="0.25">
      <c r="A15" s="2"/>
      <c r="B15" s="2"/>
      <c r="C15" s="2"/>
      <c r="D15" s="8" t="s">
        <v>33</v>
      </c>
      <c r="E15" s="8"/>
      <c r="F15" s="8"/>
      <c r="G15" s="6">
        <f>+G14</f>
        <v>8</v>
      </c>
      <c r="H15" s="6">
        <f>+H14-H13+1</f>
        <v>2</v>
      </c>
      <c r="I15" s="6">
        <f t="shared" ref="I15:L15" si="4">+I14-I13+1</f>
        <v>5</v>
      </c>
      <c r="J15" s="6">
        <f t="shared" si="4"/>
        <v>6</v>
      </c>
      <c r="K15" s="6">
        <f t="shared" si="4"/>
        <v>13</v>
      </c>
      <c r="L15" s="6">
        <f t="shared" si="4"/>
        <v>10</v>
      </c>
      <c r="M15" s="6">
        <f>+M14-M13+1</f>
        <v>46</v>
      </c>
      <c r="N15" s="15">
        <f>+N14-N13+1</f>
        <v>999909</v>
      </c>
      <c r="W15" s="4"/>
    </row>
    <row r="16" spans="1:25" x14ac:dyDescent="0.25">
      <c r="A16" s="2"/>
      <c r="B16" s="2"/>
      <c r="C16" s="2"/>
      <c r="D16" s="2"/>
      <c r="E16" s="2"/>
      <c r="G16" s="4"/>
      <c r="H16" s="6"/>
      <c r="I16" s="6"/>
      <c r="J16" s="6"/>
      <c r="K16" s="6"/>
      <c r="L16" s="6"/>
      <c r="M16" s="6"/>
      <c r="N16" s="6"/>
      <c r="O16" s="6"/>
      <c r="V16" s="4"/>
    </row>
    <row r="17" spans="1:26" x14ac:dyDescent="0.25">
      <c r="A17" s="39" t="s">
        <v>34</v>
      </c>
      <c r="B17" s="39"/>
      <c r="C17" s="39"/>
      <c r="D17" s="39"/>
      <c r="E17" s="39"/>
      <c r="F17" s="39"/>
      <c r="G17" s="39"/>
      <c r="H17" s="39"/>
      <c r="I17" s="39"/>
      <c r="J17" s="39"/>
      <c r="K17" s="39"/>
      <c r="L17" s="39"/>
      <c r="M17" s="39"/>
      <c r="N17" s="39"/>
      <c r="O17" s="12"/>
      <c r="P17" s="12"/>
      <c r="Q17" s="12"/>
      <c r="R17" s="12"/>
      <c r="S17" s="12"/>
      <c r="T17" s="12"/>
      <c r="U17" s="12"/>
      <c r="V17" s="12"/>
      <c r="W17" s="12"/>
      <c r="X17" s="12"/>
      <c r="Y17" s="12"/>
    </row>
    <row r="18" spans="1:26" ht="15.75" thickBot="1" x14ac:dyDescent="0.3">
      <c r="A18" s="39" t="s">
        <v>35</v>
      </c>
      <c r="B18" s="39"/>
      <c r="C18" s="39"/>
      <c r="D18" s="39"/>
      <c r="E18" s="39"/>
      <c r="F18" s="39"/>
      <c r="G18" s="39"/>
      <c r="H18" s="39"/>
      <c r="I18" s="39"/>
      <c r="J18" s="39"/>
      <c r="K18" s="39"/>
      <c r="L18" s="39"/>
      <c r="M18" s="39"/>
      <c r="N18" s="39"/>
      <c r="O18" s="12"/>
      <c r="P18" s="12"/>
      <c r="Q18" s="12"/>
      <c r="R18" s="12"/>
      <c r="S18" s="12"/>
      <c r="T18" s="12"/>
      <c r="U18" s="12"/>
      <c r="V18" s="12"/>
      <c r="W18" s="12"/>
      <c r="Y18" s="12"/>
    </row>
    <row r="19" spans="1:26" ht="30.75" thickTop="1" x14ac:dyDescent="0.25">
      <c r="A19" s="13" t="s">
        <v>36</v>
      </c>
      <c r="B19" s="12"/>
      <c r="C19" s="12"/>
      <c r="D19" s="12"/>
      <c r="E19" s="12"/>
      <c r="F19" s="12"/>
      <c r="G19" s="12"/>
      <c r="H19" s="12"/>
      <c r="I19" s="12"/>
      <c r="J19" s="12"/>
      <c r="K19" s="12"/>
      <c r="L19" s="12"/>
      <c r="M19" s="12"/>
      <c r="N19" s="12"/>
      <c r="O19" s="12"/>
      <c r="P19" s="12"/>
      <c r="Q19" s="12"/>
      <c r="R19" s="12"/>
      <c r="S19" s="12"/>
      <c r="T19" s="12"/>
      <c r="U19" s="12"/>
      <c r="V19" s="12"/>
      <c r="W19" s="12"/>
      <c r="Y19" s="12"/>
    </row>
    <row r="20" spans="1:26" ht="22.5" customHeight="1" x14ac:dyDescent="0.25">
      <c r="A20" s="18">
        <f>SUBTOTAL(9,Tableau158[Total
Stationnement])</f>
        <v>0</v>
      </c>
      <c r="B20" s="2"/>
      <c r="C20" s="2"/>
      <c r="D20" s="2"/>
      <c r="E20" s="2"/>
      <c r="G20" s="4"/>
      <c r="H20" s="6"/>
      <c r="I20" s="6"/>
      <c r="J20" s="6"/>
      <c r="K20" s="6"/>
      <c r="L20" s="6"/>
      <c r="M20" s="6"/>
      <c r="N20" s="6"/>
      <c r="O20" s="6"/>
      <c r="V20" s="4"/>
    </row>
    <row r="21" spans="1:26" s="25" customFormat="1" ht="56.25" customHeight="1" x14ac:dyDescent="0.25">
      <c r="A21" s="19" t="s">
        <v>37</v>
      </c>
      <c r="B21" s="20" t="s">
        <v>15</v>
      </c>
      <c r="C21" s="20" t="s">
        <v>38</v>
      </c>
      <c r="D21" s="19" t="s">
        <v>70</v>
      </c>
      <c r="E21" s="19" t="s">
        <v>71</v>
      </c>
      <c r="F21" s="21" t="s">
        <v>17</v>
      </c>
      <c r="G21" s="22" t="s">
        <v>41</v>
      </c>
      <c r="H21" s="23" t="s">
        <v>72</v>
      </c>
      <c r="I21" s="24" t="s">
        <v>73</v>
      </c>
      <c r="J21" s="23" t="s">
        <v>74</v>
      </c>
      <c r="K21" s="24" t="s">
        <v>75</v>
      </c>
      <c r="L21" s="23" t="s">
        <v>76</v>
      </c>
      <c r="M21" s="24" t="s">
        <v>77</v>
      </c>
      <c r="N21" s="23" t="s">
        <v>78</v>
      </c>
      <c r="O21" s="24" t="s">
        <v>79</v>
      </c>
      <c r="P21" s="23" t="s">
        <v>80</v>
      </c>
      <c r="Q21" s="24" t="s">
        <v>81</v>
      </c>
      <c r="R21" s="23" t="s">
        <v>82</v>
      </c>
      <c r="S21" s="24" t="s">
        <v>83</v>
      </c>
      <c r="T21" s="23" t="s">
        <v>84</v>
      </c>
      <c r="U21" s="24" t="s">
        <v>85</v>
      </c>
      <c r="V21" s="23" t="s">
        <v>86</v>
      </c>
      <c r="W21" s="24" t="s">
        <v>87</v>
      </c>
      <c r="X21" s="22" t="s">
        <v>58</v>
      </c>
      <c r="Y21" s="21" t="s">
        <v>59</v>
      </c>
      <c r="Z21" s="2"/>
    </row>
    <row r="22" spans="1:26" x14ac:dyDescent="0.25">
      <c r="B22" s="26"/>
      <c r="C22" s="27"/>
      <c r="D22" s="28"/>
      <c r="E22" s="28"/>
      <c r="F22" s="4">
        <f>IF(OR(Tableau158[[#This Row],[Type
OH/DGX]]="DGX",Tableau158[[#This Row],[Type
OH/DGX]]="OH"),CONCATENATE(Tableau158[[#This Row],[Taille]]," ohdgx"),Tableau158[[#This Row],[Taille]])</f>
        <v>0</v>
      </c>
      <c r="G22" s="3">
        <f>+IF(Tableau158[[#This Row],[Nombre de 
conteneur]]="",0,Tableau158[[#This Row],[Date fin
''Embarquement'']]-Tableau158[[#This Row],[Date début
''Réception'']]+1)</f>
        <v>0</v>
      </c>
      <c r="H22" s="29">
        <f>IF(Tableau158[[#This Row],[Nombre
jours
total]]&lt;=G$14,Tableau158[[#This Row],[Nombre
jours
total]],G$14)</f>
        <v>0</v>
      </c>
      <c r="I22" s="30">
        <f>IFERROR(VLOOKUP(Tableau158[[#This Row],[20/40OH]],Tableau69[[20/40OH]:[tranche 8]],2,FALSE)*Tableau158[[#This Row],[Tranche 1
export
nb jour]]*Tableau158[[#This Row],[Nombre de 
conteneur]],0)</f>
        <v>0</v>
      </c>
      <c r="J22" s="29">
        <f>IF(AND(Tableau158[[#This Row],[Nombre
jours
total]]&gt;=H$13,Tableau158[[#This Row],[Nombre
jours
total]]&lt;=H$14),Tableau158[[#This Row],[Nombre
jours
total]]-H$13+1,IF(Tableau158[[#This Row],[Nombre
jours
total]]&lt;H$13,0,IF(Tableau158[[#This Row],[Nombre
jours
total]]&gt;H$14,H$14-H$13+1)))</f>
        <v>0</v>
      </c>
      <c r="K22" s="31">
        <f>IFERROR(VLOOKUP(Tableau158[[#This Row],[20/40OH]],Tableau69[[20/40OH]:[tranche 8]],3,FALSE)*Tableau158[[#This Row],[Tranche 2
export
nb jour]]*Tableau158[[#This Row],[Nombre de 
conteneur]],0)</f>
        <v>0</v>
      </c>
      <c r="L22" s="29">
        <f>IF(AND(Tableau158[[#This Row],[Nombre
jours
total]]&gt;=I$13,Tableau158[[#This Row],[Nombre
jours
total]]&lt;=I$14),Tableau158[[#This Row],[Nombre
jours
total]]-I$13+1,IF(Tableau158[[#This Row],[Nombre
jours
total]]&lt;I$13,0,IF(Tableau158[[#This Row],[Nombre
jours
total]]&gt;I$14,I$14-I$13+1)))</f>
        <v>0</v>
      </c>
      <c r="M22" s="31">
        <f>IFERROR(VLOOKUP(Tableau158[[#This Row],[20/40OH]],Tableau69[[20/40OH]:[tranche 8]],4,FALSE)*Tableau158[[#This Row],[Tranche 3
export
nb jour]]*Tableau158[[#This Row],[Nombre de 
conteneur]],0)</f>
        <v>0</v>
      </c>
      <c r="N22" s="29">
        <f>IF(AND(Tableau158[[#This Row],[Nombre
jours
total]]&gt;=J$13,Tableau158[[#This Row],[Nombre
jours
total]]&lt;=J$14),Tableau158[[#This Row],[Nombre
jours
total]]-J$13+1,IF(Tableau158[[#This Row],[Nombre
jours
total]]&lt;J$13,0,IF(Tableau158[[#This Row],[Nombre
jours
total]]&gt;J$14,J$14-J$13+1)))</f>
        <v>0</v>
      </c>
      <c r="O22" s="31">
        <f>IFERROR(VLOOKUP(Tableau158[[#This Row],[20/40OH]],Tableau69[[20/40OH]:[tranche 8]],5,FALSE)*Tableau158[[#This Row],[Tranche 4
export
nb jour]]*Tableau158[[#This Row],[Nombre de 
conteneur]],0)</f>
        <v>0</v>
      </c>
      <c r="P22" s="29">
        <f>IF(AND(Tableau158[[#This Row],[Nombre
jours
total]]&gt;=K$13,Tableau158[[#This Row],[Nombre
jours
total]]&lt;=K$14),Tableau158[[#This Row],[Nombre
jours
total]]-K$13+1,IF(Tableau158[[#This Row],[Nombre
jours
total]]&lt;K$13,0,IF(Tableau158[[#This Row],[Nombre
jours
total]]&gt;K$14,K$14-K$13+1)))</f>
        <v>0</v>
      </c>
      <c r="Q22" s="31">
        <f>IFERROR(VLOOKUP(Tableau158[[#This Row],[20/40OH]],Tableau69[[20/40OH]:[tranche 8]],6,FALSE)*Tableau158[[#This Row],[Tranche 5
export
nb jour]]*Tableau158[[#This Row],[Nombre de 
conteneur]],0)</f>
        <v>0</v>
      </c>
      <c r="R22" s="29">
        <f>IF(AND(Tableau158[[#This Row],[Nombre
jours
total]]&gt;=L$13,Tableau158[[#This Row],[Nombre
jours
total]]&lt;=L$14),Tableau158[[#This Row],[Nombre
jours
total]]-L$13+1,IF(Tableau158[[#This Row],[Nombre
jours
total]]&lt;L$13,0,IF(Tableau158[[#This Row],[Nombre
jours
total]]&gt;L$14,L$14-L$13+1)))</f>
        <v>0</v>
      </c>
      <c r="S22" s="31">
        <f>IFERROR(VLOOKUP(Tableau158[[#This Row],[20/40OH]],Tableau69[[20/40OH]:[tranche 8]],7,FALSE)*Tableau158[[#This Row],[Tranche 6
export
nb jour]]*Tableau158[[#This Row],[Nombre de 
conteneur]],0)</f>
        <v>0</v>
      </c>
      <c r="T22" s="29">
        <f>IF(AND(Tableau158[[#This Row],[Nombre
jours
total]]&gt;=M$13,Tableau158[[#This Row],[Nombre
jours
total]]&lt;=M$14),Tableau158[[#This Row],[Nombre
jours
total]]-M$13+1,IF(Tableau158[[#This Row],[Nombre
jours
total]]&lt;M$13,0,IF(Tableau158[[#This Row],[Nombre
jours
total]]&gt;M$14,M$14-M$13+1)))</f>
        <v>0</v>
      </c>
      <c r="U22" s="31">
        <f>IFERROR(VLOOKUP(Tableau158[[#This Row],[20/40OH]],Tableau69[[20/40OH]:[tranche 8]],8,FALSE)*Tableau158[[#This Row],[Tranche 7
export
nb jour]]*Tableau158[[#This Row],[Nombre de 
conteneur]],0)</f>
        <v>0</v>
      </c>
      <c r="V22" s="29">
        <f>IF(AND(Tableau158[[#This Row],[Nombre
jours
total]]&gt;=N$13,Tableau158[[#This Row],[Nombre
jours
total]]&lt;=N$14),Tableau158[[#This Row],[Nombre
jours
total]]-N$13+1,IF(Tableau158[[#This Row],[Nombre
jours
total]]&lt;N$13,0,IF(Tableau158[[#This Row],[Nombre
jours
total]]&gt;N$14,N$14-N$13+1)))</f>
        <v>0</v>
      </c>
      <c r="W22" s="31">
        <f>IFERROR(VLOOKUP(Tableau158[[#This Row],[20/40OH]],Tableau69[[20/40OH]:[tranche 8]],9,FALSE)*Tableau158[[#This Row],[Tranche 8
export
nb jour]]*Tableau158[[#This Row],[Nombre de 
conteneur]],0)</f>
        <v>0</v>
      </c>
      <c r="X22" s="31">
        <f>+Tableau158[[#This Row],[Tranche 8
export
coût]]+Tableau158[[#This Row],[Tranche 7
export
coût]]+Tableau158[[#This Row],[Tranche 6
export
coût]]+Tableau158[[#This Row],[Tranche 5
export
coût]]+Tableau158[[#This Row],[Tranche 4
export
coût]]+Tableau158[[#This Row],[Tranche 3
export
coût]]+Tableau158[[#This Row],[Tranche 2
export
coût]]</f>
        <v>0</v>
      </c>
      <c r="Y22" s="3">
        <f>+Tableau158[[#This Row],[Tranche 8
export
nb jour]]+Tableau158[[#This Row],[Tranche 7
export
nb jour]]+Tableau158[[#This Row],[Tranche 6
export
nb jour]]+Tableau158[[#This Row],[Tranche 5
export
nb jour]]+Tableau158[[#This Row],[Tranche 4
export
nb jour]]+Tableau158[[#This Row],[Tranche 3
export
nb jour]]+Tableau158[[#This Row],[Tranche 2
export
nb jour]]+Tableau158[[#This Row],[Tranche 1
export
nb jour]]-Tableau158[[#This Row],[Nombre
jours
total]]</f>
        <v>0</v>
      </c>
    </row>
  </sheetData>
  <mergeCells count="6">
    <mergeCell ref="A1:Y1"/>
    <mergeCell ref="A2:Y2"/>
    <mergeCell ref="A4:Y4"/>
    <mergeCell ref="A17:N17"/>
    <mergeCell ref="A18:N18"/>
    <mergeCell ref="A3:Y3"/>
  </mergeCells>
  <dataValidations count="2">
    <dataValidation type="list" allowBlank="1" showInputMessage="1" showErrorMessage="1" sqref="C22" xr:uid="{31363ECD-F514-4A54-ADF8-F7AAEFC78A8A}">
      <formula1>type</formula1>
    </dataValidation>
    <dataValidation type="list" allowBlank="1" showInputMessage="1" showErrorMessage="1" sqref="B22" xr:uid="{AEEC8FBF-F12C-4E40-8D4C-E01232E268BC}">
      <formula1>longueur</formula1>
    </dataValidation>
  </dataValidations>
  <pageMargins left="0" right="0" top="0" bottom="0" header="0" footer="0"/>
  <pageSetup paperSize="9" scale="45" orientation="landscape" r:id="rId1"/>
  <tableParts count="2">
    <tablePart r:id="rId2"/>
    <tablePart r:id="rId3"/>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E976CB-0739-4D9F-93E0-D80093B20510}">
  <sheetPr>
    <tabColor theme="0" tint="-0.249977111117893"/>
    <pageSetUpPr fitToPage="1"/>
  </sheetPr>
  <dimension ref="A1:U19"/>
  <sheetViews>
    <sheetView showGridLines="0" showZeros="0" zoomScale="85" zoomScaleNormal="85" workbookViewId="0">
      <pane xSplit="4" ySplit="4" topLeftCell="E5" activePane="bottomRight" state="frozen"/>
      <selection activeCell="O49" sqref="O49"/>
      <selection pane="topRight" activeCell="O49" sqref="O49"/>
      <selection pane="bottomLeft" activeCell="O49" sqref="O49"/>
      <selection pane="bottomRight" activeCell="F28" sqref="F28"/>
    </sheetView>
  </sheetViews>
  <sheetFormatPr baseColWidth="10" defaultColWidth="11.42578125" defaultRowHeight="15" x14ac:dyDescent="0.25"/>
  <cols>
    <col min="1" max="1" width="16.42578125" style="17" customWidth="1"/>
    <col min="2" max="2" width="10.7109375" style="17" bestFit="1" customWidth="1"/>
    <col min="3" max="4" width="17.5703125" style="17" customWidth="1"/>
    <col min="5" max="5" width="13.140625" style="17" bestFit="1" customWidth="1"/>
    <col min="6" max="6" width="14.140625" style="2" customWidth="1"/>
    <col min="7" max="7" width="12.42578125" style="2" bestFit="1" customWidth="1"/>
    <col min="8" max="13" width="12.85546875" style="2" bestFit="1" customWidth="1"/>
    <col min="14" max="14" width="12.85546875" style="3" bestFit="1" customWidth="1"/>
    <col min="15" max="19" width="12.85546875" style="2" bestFit="1" customWidth="1"/>
    <col min="20" max="20" width="17" style="2" customWidth="1"/>
    <col min="21" max="21" width="14.28515625" style="2" hidden="1" customWidth="1"/>
    <col min="22" max="16384" width="11.42578125" style="2"/>
  </cols>
  <sheetData>
    <row r="1" spans="1:21" ht="24" x14ac:dyDescent="0.25">
      <c r="A1" s="40" t="s">
        <v>60</v>
      </c>
      <c r="B1" s="40"/>
      <c r="C1" s="40"/>
      <c r="D1" s="40"/>
      <c r="E1" s="40"/>
      <c r="F1" s="40"/>
      <c r="G1" s="40"/>
      <c r="H1" s="40"/>
      <c r="I1" s="40"/>
      <c r="J1" s="40"/>
      <c r="K1" s="40"/>
      <c r="L1" s="40"/>
      <c r="M1" s="40"/>
      <c r="N1" s="40"/>
      <c r="O1" s="40"/>
      <c r="P1" s="40"/>
      <c r="Q1" s="40"/>
      <c r="R1" s="40"/>
      <c r="S1" s="40"/>
      <c r="T1" s="40"/>
      <c r="U1" s="40"/>
    </row>
    <row r="2" spans="1:21" ht="24" x14ac:dyDescent="0.25">
      <c r="A2" s="40" t="s">
        <v>88</v>
      </c>
      <c r="B2" s="40"/>
      <c r="C2" s="40"/>
      <c r="D2" s="40"/>
      <c r="E2" s="40"/>
      <c r="F2" s="40"/>
      <c r="G2" s="40"/>
      <c r="H2" s="40"/>
      <c r="I2" s="40"/>
      <c r="J2" s="40"/>
      <c r="K2" s="40"/>
      <c r="L2" s="40"/>
      <c r="M2" s="40"/>
      <c r="N2" s="40"/>
      <c r="O2" s="40"/>
      <c r="P2" s="40"/>
      <c r="Q2" s="40"/>
      <c r="R2" s="40"/>
      <c r="S2" s="40"/>
      <c r="T2" s="40"/>
      <c r="U2" s="40"/>
    </row>
    <row r="3" spans="1:21" ht="24" x14ac:dyDescent="0.25">
      <c r="A3" s="41" t="s">
        <v>13</v>
      </c>
      <c r="B3" s="41"/>
      <c r="C3" s="41"/>
      <c r="D3" s="41"/>
      <c r="E3" s="41"/>
      <c r="F3" s="41"/>
      <c r="G3" s="41"/>
      <c r="H3" s="41"/>
      <c r="I3" s="41"/>
      <c r="J3" s="41"/>
      <c r="K3" s="41"/>
      <c r="L3" s="41"/>
      <c r="M3" s="41"/>
      <c r="N3" s="41"/>
      <c r="O3" s="41"/>
      <c r="P3" s="41"/>
      <c r="Q3" s="41"/>
      <c r="R3" s="41"/>
      <c r="S3" s="41"/>
      <c r="T3" s="41"/>
      <c r="U3" s="41"/>
    </row>
    <row r="4" spans="1:21" ht="37.5" customHeight="1" x14ac:dyDescent="0.25">
      <c r="A4" s="42" t="s">
        <v>14</v>
      </c>
      <c r="B4" s="42"/>
      <c r="C4" s="42"/>
      <c r="D4" s="42"/>
      <c r="E4" s="42"/>
      <c r="F4" s="42"/>
      <c r="G4" s="42"/>
      <c r="H4" s="42"/>
      <c r="I4" s="42"/>
      <c r="J4" s="42"/>
      <c r="K4" s="42"/>
      <c r="L4" s="42"/>
      <c r="M4" s="42"/>
      <c r="N4" s="42"/>
      <c r="O4" s="42"/>
      <c r="P4" s="42"/>
      <c r="Q4" s="42"/>
      <c r="R4" s="42"/>
      <c r="S4" s="42"/>
      <c r="T4" s="42"/>
      <c r="U4" s="42"/>
    </row>
    <row r="5" spans="1:21" x14ac:dyDescent="0.25">
      <c r="A5" s="2"/>
      <c r="B5" s="2"/>
      <c r="C5" s="2"/>
      <c r="D5" s="2"/>
      <c r="E5" s="2"/>
    </row>
    <row r="6" spans="1:21" x14ac:dyDescent="0.25">
      <c r="A6" s="2"/>
      <c r="B6" s="2"/>
      <c r="C6" s="2"/>
      <c r="D6" s="7" t="s">
        <v>16</v>
      </c>
      <c r="E6" s="7" t="s">
        <v>62</v>
      </c>
      <c r="F6" s="2" t="s">
        <v>18</v>
      </c>
      <c r="G6" s="2" t="s">
        <v>19</v>
      </c>
      <c r="H6" s="2" t="s">
        <v>20</v>
      </c>
      <c r="I6" s="2" t="s">
        <v>21</v>
      </c>
      <c r="J6" s="2" t="s">
        <v>22</v>
      </c>
      <c r="K6" s="2" t="s">
        <v>23</v>
      </c>
      <c r="L6" s="2" t="s">
        <v>24</v>
      </c>
      <c r="N6" s="2"/>
    </row>
    <row r="7" spans="1:21" ht="75" x14ac:dyDescent="0.25">
      <c r="A7" s="2"/>
      <c r="B7" s="2"/>
      <c r="C7" s="2"/>
      <c r="D7" s="34" t="s">
        <v>5</v>
      </c>
      <c r="E7" s="34" t="s">
        <v>63</v>
      </c>
      <c r="F7" s="9" t="s">
        <v>26</v>
      </c>
      <c r="G7" s="10">
        <v>5.78</v>
      </c>
      <c r="H7" s="10">
        <v>12.6</v>
      </c>
      <c r="I7" s="10">
        <v>15.75</v>
      </c>
      <c r="J7" s="6">
        <v>33.6</v>
      </c>
      <c r="K7" s="6">
        <v>72.98</v>
      </c>
      <c r="L7" s="6">
        <v>95.03</v>
      </c>
      <c r="N7" s="2"/>
      <c r="O7" s="5"/>
    </row>
    <row r="8" spans="1:21" ht="75" x14ac:dyDescent="0.25">
      <c r="A8" s="2"/>
      <c r="B8" s="2"/>
      <c r="C8" s="2"/>
      <c r="D8" s="34" t="s">
        <v>8</v>
      </c>
      <c r="E8" s="34" t="s">
        <v>64</v>
      </c>
      <c r="F8" s="9" t="s">
        <v>26</v>
      </c>
      <c r="G8" s="10">
        <v>22.58</v>
      </c>
      <c r="H8" s="10">
        <v>39.380000000000003</v>
      </c>
      <c r="I8" s="10">
        <v>84</v>
      </c>
      <c r="J8" s="6">
        <v>106.58</v>
      </c>
      <c r="K8" s="6">
        <v>151.19999999999999</v>
      </c>
      <c r="L8" s="6">
        <v>195.83</v>
      </c>
      <c r="N8" s="2"/>
    </row>
    <row r="9" spans="1:21" ht="30" x14ac:dyDescent="0.25">
      <c r="A9" s="2"/>
      <c r="B9" s="2"/>
      <c r="C9" s="2"/>
      <c r="D9" s="34" t="s">
        <v>10</v>
      </c>
      <c r="E9" s="34" t="s">
        <v>65</v>
      </c>
      <c r="F9" s="9" t="s">
        <v>26</v>
      </c>
      <c r="G9" s="10">
        <f>+G8*1.5</f>
        <v>33.869999999999997</v>
      </c>
      <c r="H9" s="10">
        <f t="shared" ref="H9:L9" si="0">+H8*1.5</f>
        <v>59.070000000000007</v>
      </c>
      <c r="I9" s="10">
        <f t="shared" si="0"/>
        <v>126</v>
      </c>
      <c r="J9" s="10">
        <f t="shared" si="0"/>
        <v>159.87</v>
      </c>
      <c r="K9" s="10">
        <f t="shared" si="0"/>
        <v>226.79999999999998</v>
      </c>
      <c r="L9" s="10">
        <f t="shared" si="0"/>
        <v>293.745</v>
      </c>
      <c r="N9" s="2"/>
    </row>
    <row r="10" spans="1:21" x14ac:dyDescent="0.25">
      <c r="A10" s="2"/>
      <c r="B10" s="2"/>
      <c r="C10" s="2"/>
      <c r="D10" s="16" t="s">
        <v>31</v>
      </c>
      <c r="E10" s="11"/>
      <c r="F10" s="6">
        <v>0</v>
      </c>
      <c r="G10" s="6">
        <f>+F11+1</f>
        <v>9</v>
      </c>
      <c r="H10" s="6">
        <f>+G11+1</f>
        <v>11</v>
      </c>
      <c r="I10" s="6">
        <f t="shared" ref="I10:L10" si="1">+H11+1</f>
        <v>16</v>
      </c>
      <c r="J10" s="6">
        <f t="shared" si="1"/>
        <v>26</v>
      </c>
      <c r="K10" s="6">
        <f t="shared" si="1"/>
        <v>51</v>
      </c>
      <c r="L10" s="6">
        <f t="shared" si="1"/>
        <v>91</v>
      </c>
      <c r="N10" s="2"/>
    </row>
    <row r="11" spans="1:21" x14ac:dyDescent="0.25">
      <c r="A11" s="2"/>
      <c r="B11" s="2"/>
      <c r="C11" s="2"/>
      <c r="D11" s="16" t="s">
        <v>32</v>
      </c>
      <c r="E11" s="11"/>
      <c r="F11" s="6">
        <v>8</v>
      </c>
      <c r="G11" s="6">
        <v>10</v>
      </c>
      <c r="H11" s="6">
        <v>15</v>
      </c>
      <c r="I11" s="6">
        <v>25</v>
      </c>
      <c r="J11" s="6">
        <v>50</v>
      </c>
      <c r="K11" s="6">
        <v>90</v>
      </c>
      <c r="L11" s="35">
        <v>999999</v>
      </c>
      <c r="N11" s="2"/>
    </row>
    <row r="12" spans="1:21" x14ac:dyDescent="0.25">
      <c r="A12" s="2"/>
      <c r="B12" s="2"/>
      <c r="C12" s="2"/>
      <c r="D12" s="8" t="s">
        <v>33</v>
      </c>
      <c r="E12" s="8"/>
      <c r="F12" s="6">
        <f>+F11</f>
        <v>8</v>
      </c>
      <c r="G12" s="6">
        <f>+G11-G10+1</f>
        <v>2</v>
      </c>
      <c r="H12" s="6">
        <f t="shared" ref="H12:K12" si="2">+H11-H10+1</f>
        <v>5</v>
      </c>
      <c r="I12" s="6">
        <f t="shared" si="2"/>
        <v>10</v>
      </c>
      <c r="J12" s="6">
        <f t="shared" si="2"/>
        <v>25</v>
      </c>
      <c r="K12" s="6">
        <f t="shared" si="2"/>
        <v>40</v>
      </c>
      <c r="L12" s="14">
        <f>+L11-L10+1</f>
        <v>999909</v>
      </c>
      <c r="N12" s="2"/>
    </row>
    <row r="13" spans="1:21" x14ac:dyDescent="0.25">
      <c r="A13" s="2"/>
      <c r="B13" s="2"/>
      <c r="C13" s="2"/>
      <c r="D13" s="2"/>
      <c r="E13" s="2"/>
      <c r="G13" s="4"/>
      <c r="H13" s="6"/>
      <c r="I13" s="6"/>
      <c r="J13" s="6"/>
      <c r="K13" s="6"/>
      <c r="L13" s="6"/>
      <c r="M13" s="6"/>
      <c r="N13" s="6"/>
      <c r="O13" s="6"/>
    </row>
    <row r="14" spans="1:21" x14ac:dyDescent="0.25">
      <c r="A14" s="39" t="s">
        <v>66</v>
      </c>
      <c r="B14" s="39"/>
      <c r="C14" s="39"/>
      <c r="D14" s="39"/>
      <c r="E14" s="39"/>
      <c r="F14" s="39"/>
      <c r="G14" s="39"/>
      <c r="H14" s="39"/>
      <c r="I14" s="39"/>
      <c r="J14" s="39"/>
      <c r="K14" s="39"/>
      <c r="L14" s="39"/>
      <c r="M14" s="39"/>
      <c r="N14" s="39"/>
      <c r="O14" s="12"/>
      <c r="P14" s="12"/>
      <c r="Q14" s="12"/>
      <c r="R14" s="12"/>
      <c r="S14" s="12"/>
      <c r="T14" s="12"/>
      <c r="U14" s="12"/>
    </row>
    <row r="15" spans="1:21" ht="15.75" thickBot="1" x14ac:dyDescent="0.3">
      <c r="A15" s="39" t="s">
        <v>67</v>
      </c>
      <c r="B15" s="39"/>
      <c r="C15" s="39"/>
      <c r="D15" s="39"/>
      <c r="E15" s="39"/>
      <c r="F15" s="39"/>
      <c r="G15" s="39"/>
      <c r="H15" s="39"/>
      <c r="I15" s="39"/>
      <c r="J15" s="39"/>
      <c r="K15" s="39"/>
      <c r="L15" s="39"/>
      <c r="M15" s="39"/>
      <c r="N15" s="39"/>
      <c r="O15" s="12"/>
      <c r="P15" s="12"/>
      <c r="Q15" s="12"/>
      <c r="R15" s="12"/>
      <c r="S15" s="12"/>
      <c r="T15" s="12"/>
      <c r="U15" s="12"/>
    </row>
    <row r="16" spans="1:21" ht="30.75" thickTop="1" x14ac:dyDescent="0.25">
      <c r="A16" s="13" t="s">
        <v>36</v>
      </c>
      <c r="B16" s="12"/>
      <c r="C16" s="12"/>
      <c r="D16" s="12"/>
      <c r="E16" s="12"/>
      <c r="F16" s="12"/>
      <c r="G16" s="12"/>
      <c r="H16" s="12"/>
      <c r="I16" s="12"/>
      <c r="J16" s="12"/>
      <c r="K16" s="12"/>
      <c r="L16" s="12"/>
      <c r="M16" s="12"/>
      <c r="N16" s="12"/>
      <c r="O16" s="12"/>
      <c r="P16" s="12"/>
      <c r="Q16" s="12"/>
      <c r="R16" s="12"/>
      <c r="S16" s="12"/>
      <c r="T16" s="12"/>
      <c r="U16" s="12"/>
    </row>
    <row r="17" spans="1:20" ht="22.5" customHeight="1" x14ac:dyDescent="0.25">
      <c r="A17" s="18">
        <f>SUBTOTAL(9,Tableau15106[Total
Stationnement])</f>
        <v>0</v>
      </c>
      <c r="B17" s="2"/>
      <c r="C17" s="2"/>
      <c r="D17" s="2"/>
      <c r="E17" s="2"/>
      <c r="G17" s="4"/>
      <c r="H17" s="6"/>
      <c r="I17" s="6"/>
      <c r="J17" s="6"/>
      <c r="K17" s="6"/>
      <c r="L17" s="6"/>
      <c r="M17" s="6"/>
      <c r="N17" s="6"/>
      <c r="O17" s="6"/>
    </row>
    <row r="18" spans="1:20" s="25" customFormat="1" ht="56.25" customHeight="1" x14ac:dyDescent="0.25">
      <c r="A18" s="19" t="s">
        <v>68</v>
      </c>
      <c r="B18" s="20" t="s">
        <v>16</v>
      </c>
      <c r="C18" s="19" t="s">
        <v>70</v>
      </c>
      <c r="D18" s="19" t="s">
        <v>71</v>
      </c>
      <c r="E18" s="22" t="s">
        <v>41</v>
      </c>
      <c r="F18" s="23" t="s">
        <v>42</v>
      </c>
      <c r="G18" s="24" t="s">
        <v>43</v>
      </c>
      <c r="H18" s="23" t="s">
        <v>44</v>
      </c>
      <c r="I18" s="24" t="s">
        <v>45</v>
      </c>
      <c r="J18" s="23" t="s">
        <v>46</v>
      </c>
      <c r="K18" s="24" t="s">
        <v>47</v>
      </c>
      <c r="L18" s="23" t="s">
        <v>48</v>
      </c>
      <c r="M18" s="24" t="s">
        <v>49</v>
      </c>
      <c r="N18" s="23" t="s">
        <v>50</v>
      </c>
      <c r="O18" s="24" t="s">
        <v>51</v>
      </c>
      <c r="P18" s="23" t="s">
        <v>52</v>
      </c>
      <c r="Q18" s="24" t="s">
        <v>53</v>
      </c>
      <c r="R18" s="23" t="s">
        <v>54</v>
      </c>
      <c r="S18" s="24" t="s">
        <v>55</v>
      </c>
      <c r="T18" s="22" t="s">
        <v>58</v>
      </c>
    </row>
    <row r="19" spans="1:20" x14ac:dyDescent="0.25">
      <c r="B19" s="26"/>
      <c r="C19" s="28"/>
      <c r="D19" s="28"/>
      <c r="E19" s="3">
        <f>+IF(Tableau15106[[#This Row],[Nombre de 
marchandises]]="",0,Tableau15106[[#This Row],[Date fin
''Embarquement'']]-Tableau15106[[#This Row],[Date début
''Réception'']]+1)</f>
        <v>0</v>
      </c>
      <c r="F19" s="29">
        <f>IF(Tableau15106[[#This Row],[Nombre
jours
total]]&lt;=F$11,Tableau15106[[#This Row],[Nombre
jours
total]],F$11)</f>
        <v>0</v>
      </c>
      <c r="G19" s="30">
        <f>IFERROR(VLOOKUP(Tableau15106[[#This Row],[Type]],Tableau61112[],3,FALSE)*Tableau15106[[#This Row],[Tranche 1
import
nb jour]]*Tableau15106[[#This Row],[Nombre de 
marchandises]],0)</f>
        <v>0</v>
      </c>
      <c r="H19" s="29">
        <f>IF(AND(Tableau15106[[#This Row],[Nombre
jours
total]]&gt;=G$10,Tableau15106[[#This Row],[Nombre
jours
total]]&lt;=G$11),Tableau15106[[#This Row],[Nombre
jours
total]]-G$10+1,IF(Tableau15106[[#This Row],[Nombre
jours
total]]&lt;G$10,0,IF(Tableau15106[[#This Row],[Nombre
jours
total]]&gt;G$11,G$11-G$10+1)))</f>
        <v>0</v>
      </c>
      <c r="I19" s="31">
        <f>IFERROR(VLOOKUP(Tableau15106[[#This Row],[Type]],Tableau61112[],4,FALSE)*Tableau15106[[#This Row],[Tranche 2
import
nb jour]]*Tableau15106[[#This Row],[Nombre de 
marchandises]],0)</f>
        <v>0</v>
      </c>
      <c r="J19" s="29">
        <f>IF(AND(Tableau15106[[#This Row],[Nombre
jours
total]]&gt;=H$10,Tableau15106[[#This Row],[Nombre
jours
total]]&lt;=H$11),Tableau15106[[#This Row],[Nombre
jours
total]]-H$10+1,IF(Tableau15106[[#This Row],[Nombre
jours
total]]&lt;H$10,0,IF(Tableau15106[[#This Row],[Nombre
jours
total]]&gt;H$11,H$11-H$10+1)))</f>
        <v>0</v>
      </c>
      <c r="K19" s="31">
        <f>IFERROR(VLOOKUP(Tableau15106[[#This Row],[Type]],Tableau61112[],5,FALSE)*Tableau15106[[#This Row],[Tranche 3
import
nb jour]]*Tableau15106[[#This Row],[Nombre de 
marchandises]],0)</f>
        <v>0</v>
      </c>
      <c r="L19" s="29">
        <f>IF(AND(Tableau15106[[#This Row],[Nombre
jours
total]]&gt;=I$10,Tableau15106[[#This Row],[Nombre
jours
total]]&lt;=I$11),Tableau15106[[#This Row],[Nombre
jours
total]]-I$10+1,IF(Tableau15106[[#This Row],[Nombre
jours
total]]&lt;I$10,0,IF(Tableau15106[[#This Row],[Nombre
jours
total]]&gt;I$11,I$11-I$10+1)))</f>
        <v>0</v>
      </c>
      <c r="M19" s="31">
        <f>IFERROR(VLOOKUP(Tableau15106[[#This Row],[Type]],Tableau61112[],6,FALSE)*Tableau15106[[#This Row],[Tranche 4
import
nb jour]]*Tableau15106[[#This Row],[Nombre de 
marchandises]],0)</f>
        <v>0</v>
      </c>
      <c r="N19" s="29">
        <f>IF(AND(Tableau15106[[#This Row],[Nombre
jours
total]]&gt;=J$10,Tableau15106[[#This Row],[Nombre
jours
total]]&lt;=J$11),Tableau15106[[#This Row],[Nombre
jours
total]]-J$10+1,IF(Tableau15106[[#This Row],[Nombre
jours
total]]&lt;J$10,0,IF(Tableau15106[[#This Row],[Nombre
jours
total]]&gt;J$11,J$11-J$10+1)))</f>
        <v>0</v>
      </c>
      <c r="O19" s="31">
        <f>IFERROR(VLOOKUP(Tableau15106[[#This Row],[Type]],Tableau61112[],7,FALSE)*Tableau15106[[#This Row],[Tranche 5
import
nb jour]]*Tableau15106[[#This Row],[Nombre de 
marchandises]],0)</f>
        <v>0</v>
      </c>
      <c r="P19" s="29">
        <f>IF(AND(Tableau15106[[#This Row],[Nombre
jours
total]]&gt;=K$10,Tableau15106[[#This Row],[Nombre
jours
total]]&lt;=K$11),Tableau15106[[#This Row],[Nombre
jours
total]]-K$10+1,IF(Tableau15106[[#This Row],[Nombre
jours
total]]&lt;K$10,0,IF(Tableau15106[[#This Row],[Nombre
jours
total]]&gt;K$11,K$11-K$10+1)))</f>
        <v>0</v>
      </c>
      <c r="Q19" s="31">
        <f>IFERROR(VLOOKUP(Tableau15106[[#This Row],[Type]],Tableau61112[],8,FALSE)*Tableau15106[[#This Row],[Tranche 6
import
nb jour]]*Tableau15106[[#This Row],[Nombre de 
marchandises]],0)</f>
        <v>0</v>
      </c>
      <c r="R19" s="29">
        <f>IF(AND(Tableau15106[[#This Row],[Nombre
jours
total]]&gt;=L$10,Tableau15106[[#This Row],[Nombre
jours
total]]&lt;=L$11),Tableau15106[[#This Row],[Nombre
jours
total]]-L$10+1,IF(Tableau15106[[#This Row],[Nombre
jours
total]]&lt;L$10,0,IF(Tableau15106[[#This Row],[Nombre
jours
total]]&gt;L$11,L$11-L$10+1)))</f>
        <v>0</v>
      </c>
      <c r="S19" s="31">
        <f>IFERROR(VLOOKUP(Tableau15106[[#This Row],[Type]],Tableau61112[],9,FALSE)*Tableau15106[[#This Row],[Tranche 6
import
nb jour]]*Tableau15106[[#This Row],[Nombre de 
marchandises]],0)</f>
        <v>0</v>
      </c>
      <c r="T19" s="31">
        <f>+Tableau15106[[#This Row],[Tranche 7
Import
coût]]+Tableau15106[[#This Row],[Tranche 6
Import
coût]]+Tableau15106[[#This Row],[Tranche 5
Import
coût]]+Tableau15106[[#This Row],[Tranche 4
Import
coût]]+Tableau15106[[#This Row],[Tranche 3
Import
coût]]+Tableau15106[[#This Row],[Tranche 2
Import
coût]]+Tableau15106[[#This Row],[Tranche 1
Import
coût]]</f>
        <v>0</v>
      </c>
    </row>
  </sheetData>
  <mergeCells count="6">
    <mergeCell ref="A1:U1"/>
    <mergeCell ref="A2:U2"/>
    <mergeCell ref="A4:U4"/>
    <mergeCell ref="A14:N14"/>
    <mergeCell ref="A15:N15"/>
    <mergeCell ref="A3:U3"/>
  </mergeCells>
  <dataValidations count="1">
    <dataValidation type="list" allowBlank="1" showInputMessage="1" showErrorMessage="1" sqref="B19" xr:uid="{B046852E-C056-472E-B6A7-5E0CA02D136A}">
      <formula1>Marchandise</formula1>
    </dataValidation>
  </dataValidations>
  <pageMargins left="0" right="0" top="0" bottom="0" header="0" footer="0"/>
  <pageSetup paperSize="9" scale="52" orientation="landscape" r:id="rId1"/>
  <tableParts count="2">
    <tablePart r:id="rId2"/>
    <tablePart r:id="rId3"/>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82d80a40-ac96-4c29-8bd9-8231de4fcc0f">
      <Terms xmlns="http://schemas.microsoft.com/office/infopath/2007/PartnerControls"/>
    </lcf76f155ced4ddcb4097134ff3c332f>
    <TaxCatchAll xmlns="cabda29e-328d-4b52-b697-171e0a522466"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4A32FD1BF0EE974E90AB941C23629757" ma:contentTypeVersion="14" ma:contentTypeDescription="Crée un document." ma:contentTypeScope="" ma:versionID="289b158597891707f99c0e8bfb939af5">
  <xsd:schema xmlns:xsd="http://www.w3.org/2001/XMLSchema" xmlns:xs="http://www.w3.org/2001/XMLSchema" xmlns:p="http://schemas.microsoft.com/office/2006/metadata/properties" xmlns:ns2="82d80a40-ac96-4c29-8bd9-8231de4fcc0f" xmlns:ns3="cabda29e-328d-4b52-b697-171e0a522466" targetNamespace="http://schemas.microsoft.com/office/2006/metadata/properties" ma:root="true" ma:fieldsID="37072c210b098996830d6c8df34896af" ns2:_="" ns3:_="">
    <xsd:import namespace="82d80a40-ac96-4c29-8bd9-8231de4fcc0f"/>
    <xsd:import namespace="cabda29e-328d-4b52-b697-171e0a522466"/>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LengthInSeconds" minOccurs="0"/>
                <xsd:element ref="ns2:MediaServiceSearchProperties" minOccurs="0"/>
                <xsd:element ref="ns2: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2d80a40-ac96-4c29-8bd9-8231de4fcc0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lcf76f155ced4ddcb4097134ff3c332f" ma:index="14" nillable="true" ma:taxonomy="true" ma:internalName="lcf76f155ced4ddcb4097134ff3c332f" ma:taxonomyFieldName="MediaServiceImageTags" ma:displayName="Balises d’images" ma:readOnly="false" ma:fieldId="{5cf76f15-5ced-4ddc-b409-7134ff3c332f}" ma:taxonomyMulti="true" ma:sspId="56b23e2c-3462-43e2-964d-a0a52634ee5a"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SearchProperties" ma:index="20" nillable="true" ma:displayName="MediaServiceSearchProperties" ma:hidden="true" ma:internalName="MediaServiceSearchProperties" ma:readOnly="true">
      <xsd:simpleType>
        <xsd:restriction base="dms:Note"/>
      </xsd:simpleType>
    </xsd:element>
    <xsd:element name="MediaServiceDateTaken" ma:index="21" nillable="true" ma:displayName="MediaServiceDateTaken" ma:hidden="true" ma:indexed="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abda29e-328d-4b52-b697-171e0a522466" elementFormDefault="qualified">
    <xsd:import namespace="http://schemas.microsoft.com/office/2006/documentManagement/types"/>
    <xsd:import namespace="http://schemas.microsoft.com/office/infopath/2007/PartnerControls"/>
    <xsd:element name="SharedWithUsers" ma:index="10"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Partagé avec détails" ma:internalName="SharedWithDetails" ma:readOnly="true">
      <xsd:simpleType>
        <xsd:restriction base="dms:Note">
          <xsd:maxLength value="255"/>
        </xsd:restriction>
      </xsd:simpleType>
    </xsd:element>
    <xsd:element name="TaxCatchAll" ma:index="15" nillable="true" ma:displayName="Taxonomy Catch All Column" ma:hidden="true" ma:list="{bad33ead-8102-41c8-b8b7-6af7988cd988}" ma:internalName="TaxCatchAll" ma:showField="CatchAllData" ma:web="cabda29e-328d-4b52-b697-171e0a52246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733068A-41C3-40D8-B634-37DA2F0945D8}">
  <ds:schemaRefs>
    <ds:schemaRef ds:uri="http://schemas.microsoft.com/sharepoint/v3/contenttype/forms"/>
  </ds:schemaRefs>
</ds:datastoreItem>
</file>

<file path=customXml/itemProps2.xml><?xml version="1.0" encoding="utf-8"?>
<ds:datastoreItem xmlns:ds="http://schemas.openxmlformats.org/officeDocument/2006/customXml" ds:itemID="{6D800E03-104D-4015-B3EF-36FFF7F08E18}">
  <ds:schemaRefs>
    <ds:schemaRef ds:uri="http://purl.org/dc/terms/"/>
    <ds:schemaRef ds:uri="http://schemas.microsoft.com/office/2006/documentManagement/types"/>
    <ds:schemaRef ds:uri="82d80a40-ac96-4c29-8bd9-8231de4fcc0f"/>
    <ds:schemaRef ds:uri="http://purl.org/dc/elements/1.1/"/>
    <ds:schemaRef ds:uri="cabda29e-328d-4b52-b697-171e0a522466"/>
    <ds:schemaRef ds:uri="http://schemas.microsoft.com/office/infopath/2007/PartnerControls"/>
    <ds:schemaRef ds:uri="http://schemas.openxmlformats.org/package/2006/metadata/core-properties"/>
    <ds:schemaRef ds:uri="http://schemas.microsoft.com/office/2006/metadata/properties"/>
    <ds:schemaRef ds:uri="http://www.w3.org/XML/1998/namespace"/>
    <ds:schemaRef ds:uri="http://purl.org/dc/dcmitype/"/>
  </ds:schemaRefs>
</ds:datastoreItem>
</file>

<file path=customXml/itemProps3.xml><?xml version="1.0" encoding="utf-8"?>
<ds:datastoreItem xmlns:ds="http://schemas.openxmlformats.org/officeDocument/2006/customXml" ds:itemID="{8259DCBE-EEAF-4EAD-9209-061A93E5D16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2d80a40-ac96-4c29-8bd9-8231de4fcc0f"/>
    <ds:schemaRef ds:uri="cabda29e-328d-4b52-b697-171e0a52246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9</vt:i4>
      </vt:variant>
      <vt:variant>
        <vt:lpstr>Plages nommées</vt:lpstr>
      </vt:variant>
      <vt:variant>
        <vt:i4>32</vt:i4>
      </vt:variant>
    </vt:vector>
  </HeadingPairs>
  <TitlesOfParts>
    <vt:vector size="41" baseType="lpstr">
      <vt:lpstr>base</vt:lpstr>
      <vt:lpstr>Import conteneur 2025</vt:lpstr>
      <vt:lpstr>Import roulant 2025</vt:lpstr>
      <vt:lpstr>Export conteneur 2025</vt:lpstr>
      <vt:lpstr>Export roulant 2025</vt:lpstr>
      <vt:lpstr>Import conteneur 2024</vt:lpstr>
      <vt:lpstr>Import roulant 2024</vt:lpstr>
      <vt:lpstr>Export conteneur 2024</vt:lpstr>
      <vt:lpstr>Export roulant 2024</vt:lpstr>
      <vt:lpstr>ABC</vt:lpstr>
      <vt:lpstr>'Export conteneur 2024'!longueur</vt:lpstr>
      <vt:lpstr>'Export conteneur 2025'!longueur</vt:lpstr>
      <vt:lpstr>'Export roulant 2024'!longueur</vt:lpstr>
      <vt:lpstr>'Export roulant 2025'!longueur</vt:lpstr>
      <vt:lpstr>'Import conteneur 2025'!longueur</vt:lpstr>
      <vt:lpstr>'Import roulant 2024'!longueur</vt:lpstr>
      <vt:lpstr>'Import roulant 2025'!longueur</vt:lpstr>
      <vt:lpstr>longueur</vt:lpstr>
      <vt:lpstr>'Export conteneur 2025'!Marchandise</vt:lpstr>
      <vt:lpstr>'Export roulant 2024'!Marchandise</vt:lpstr>
      <vt:lpstr>'Export roulant 2025'!Marchandise</vt:lpstr>
      <vt:lpstr>'Import conteneur 2025'!Marchandise</vt:lpstr>
      <vt:lpstr>'Import roulant 2025'!Marchandise</vt:lpstr>
      <vt:lpstr>Marchandise</vt:lpstr>
      <vt:lpstr>'Export conteneur 2024'!type</vt:lpstr>
      <vt:lpstr>'Export conteneur 2025'!type</vt:lpstr>
      <vt:lpstr>'Export roulant 2024'!type</vt:lpstr>
      <vt:lpstr>'Export roulant 2025'!type</vt:lpstr>
      <vt:lpstr>'Import conteneur 2025'!type</vt:lpstr>
      <vt:lpstr>'Import roulant 2024'!type</vt:lpstr>
      <vt:lpstr>'Import roulant 2025'!type</vt:lpstr>
      <vt:lpstr>type</vt:lpstr>
      <vt:lpstr>vingt</vt:lpstr>
      <vt:lpstr>'Export conteneur 2024'!Zone_d_impression</vt:lpstr>
      <vt:lpstr>'Export conteneur 2025'!Zone_d_impression</vt:lpstr>
      <vt:lpstr>'Export roulant 2024'!Zone_d_impression</vt:lpstr>
      <vt:lpstr>'Export roulant 2025'!Zone_d_impression</vt:lpstr>
      <vt:lpstr>'Import conteneur 2024'!Zone_d_impression</vt:lpstr>
      <vt:lpstr>'Import conteneur 2025'!Zone_d_impression</vt:lpstr>
      <vt:lpstr>'Import roulant 2024'!Zone_d_impression</vt:lpstr>
      <vt:lpstr>'Import roulant 2025'!Zone_d_impression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bb</dc:creator>
  <cp:keywords/>
  <dc:description/>
  <cp:lastModifiedBy>Béatrice Bianchini</cp:lastModifiedBy>
  <cp:revision/>
  <dcterms:created xsi:type="dcterms:W3CDTF">2023-08-24T13:42:44Z</dcterms:created>
  <dcterms:modified xsi:type="dcterms:W3CDTF">2025-01-15T13:35:05Z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0x0101004A32FD1BF0EE974E90AB941C23629757</vt:lpwstr>
  </property>
  <property fmtid="{D5CDD505-2E9C-101B-9397-08002B2CF9AE}" pid="3" name="MediaServiceImageTags">
    <vt:lpwstr/>
  </property>
</Properties>
</file>